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1770" windowWidth="15360" windowHeight="8745" firstSheet="1" activeTab="1"/>
  </bookViews>
  <sheets>
    <sheet name="Q-DESIGN" sheetId="1" state="hidden" r:id="rId1"/>
    <sheet name="Design" sheetId="2" r:id="rId2"/>
    <sheet name="S-DESIGN" sheetId="3" state="hidden" r:id="rId3"/>
  </sheets>
  <definedNames>
    <definedName name="\0" localSheetId="0">'Q-DESIGN'!$B$106</definedName>
    <definedName name="\M" localSheetId="0">'Q-DESIGN'!$B$104</definedName>
    <definedName name="__123Graph_C" hidden="1">#REF!</definedName>
    <definedName name="AccessDatabase" hidden="1">"C:\Documents and Settings\jorge\My Documents\2 in 1.mdb"</definedName>
    <definedName name="MOVER" localSheetId="0">'Q-DESIGN'!$B$94</definedName>
    <definedName name="MOVER2" localSheetId="0">'Q-DESIGN'!$B$114</definedName>
    <definedName name="MOVER3" localSheetId="0">'Q-DESIGN'!$B$129</definedName>
    <definedName name="_xlnm.Print_Area" localSheetId="1">'Design'!$B$2:$F$26</definedName>
    <definedName name="_xlnm.Print_Area" localSheetId="0">'Q-DESIGN'!$H$1:$O$36</definedName>
    <definedName name="Print_Area_MI" localSheetId="0">#REF!</definedName>
    <definedName name="ROUND_WIRE_DESIGN">'Design'!$Q$2:$U$26</definedName>
    <definedName name="TRANS" localSheetId="0">'Q-DESIGN'!$K$38:$K$46</definedName>
    <definedName name="Z_1B288219_CCB3_11D7_9D7E_0050BF737E4D_.wvu.PrintArea" localSheetId="1" hidden="1">'Design'!$B$2:$F$31</definedName>
    <definedName name="Z_1B288219_CCB3_11D7_9D7E_0050BF737E4D_.wvu.PrintArea" localSheetId="0" hidden="1">'Q-DESIGN'!$H$1:$O$36</definedName>
  </definedNames>
  <calcPr fullCalcOnLoad="1"/>
</workbook>
</file>

<file path=xl/comments2.xml><?xml version="1.0" encoding="utf-8"?>
<comments xmlns="http://schemas.openxmlformats.org/spreadsheetml/2006/main">
  <authors>
    <author>jorge</author>
  </authors>
  <commentList>
    <comment ref="Q10" authorId="0">
      <text>
        <r>
          <rPr>
            <b/>
            <sz val="8"/>
            <rFont val="Tahoma"/>
            <family val="0"/>
          </rPr>
          <t>1     Music A-228
2     Hard Drawn A-227
3     Oil Tempered A-229
4     Chrome Vanadium A-231
5     Chrome Silicon A-401
6     302 Stainless
7     316 Stainless
8     17-7 PH
9     Phosphor Bronze
10   Monel K 500
11   A-286 Alloy
12   Inconel 600
13   Inconel X750
14   Beryllium Copper
15   Monel 400
16   Nichrome V
17   Elgiloy
18   Brass #260
19   Hot Wound (- 1/2 Addl. Coil)
20   MP35N</t>
        </r>
      </text>
    </comment>
    <comment ref="B10" authorId="0">
      <text>
        <r>
          <rPr>
            <b/>
            <sz val="8"/>
            <rFont val="Tahoma"/>
            <family val="0"/>
          </rPr>
          <t>1     Music A-228
2     Hard Drawn A-227
3     Oil Tempered A-229
4     Chrome Vanadium A-231
5     Chrome Silicon A-401
6     302 Stainless
7     316 Stainless
8     17-7 PH
9     Phosphor Bronze
10   Monel K 500
11   A-286 Alloy
12   Inconel 600
13   Inconel X750
14   Beryllium Copper
15   Monel 400
16   Nichrome V
17   Elgiloy
18   Brass #260
19   Hot Wound (- 1/2 Addl. Coil)
20   MP35N</t>
        </r>
      </text>
    </comment>
  </commentList>
</comments>
</file>

<file path=xl/sharedStrings.xml><?xml version="1.0" encoding="utf-8"?>
<sst xmlns="http://schemas.openxmlformats.org/spreadsheetml/2006/main" count="1020" uniqueCount="212">
  <si>
    <t>Designer:</t>
  </si>
  <si>
    <t>Total Coils</t>
  </si>
  <si>
    <t>Revision:</t>
  </si>
  <si>
    <t>Designed by: Diamond Wire Spring Co</t>
  </si>
  <si>
    <t>Type</t>
  </si>
  <si>
    <t>OPTIONAL</t>
  </si>
  <si>
    <t>COMPRESSION</t>
  </si>
  <si>
    <t>EXTENSION</t>
  </si>
  <si>
    <t>Wire Size</t>
  </si>
  <si>
    <t>Active Coils</t>
  </si>
  <si>
    <t>Rate</t>
  </si>
  <si>
    <t>Index</t>
  </si>
  <si>
    <t>BERYLLIUM COPPER</t>
  </si>
  <si>
    <t>S. M-U</t>
  </si>
  <si>
    <t>L. M-U</t>
  </si>
  <si>
    <t>SET-UP</t>
  </si>
  <si>
    <t>#10</t>
  </si>
  <si>
    <t>OPERATION</t>
  </si>
  <si>
    <t>CUST. TOL.</t>
  </si>
  <si>
    <t>Date:</t>
  </si>
  <si>
    <t>MEAN DIA.</t>
  </si>
  <si>
    <t>d/BAR LENGTH</t>
  </si>
  <si>
    <t>COILING RATE</t>
  </si>
  <si>
    <t>d/D</t>
  </si>
  <si>
    <t>GRINDING RATE</t>
  </si>
  <si>
    <t>other</t>
  </si>
  <si>
    <t>total SPRING</t>
  </si>
  <si>
    <t>View total Data</t>
  </si>
  <si>
    <t>Print total Data</t>
  </si>
  <si>
    <t>HW</t>
  </si>
  <si>
    <t>Ground</t>
  </si>
  <si>
    <t>fae41</t>
  </si>
  <si>
    <t>Compression</t>
  </si>
  <si>
    <t>No. of coils</t>
  </si>
  <si>
    <t>CALCULATED FIELDS</t>
  </si>
  <si>
    <t>Mean Diameter</t>
  </si>
  <si>
    <t>Max. Design Stress</t>
  </si>
  <si>
    <t>Pitch</t>
  </si>
  <si>
    <t>Wt/Spring</t>
  </si>
  <si>
    <t>TORSION SPRING ANGLE TOLERANCE</t>
  </si>
  <si>
    <t>CLASS COMP</t>
  </si>
  <si>
    <t>CLASS COMPRESSION</t>
  </si>
  <si>
    <t>Extension Class</t>
  </si>
  <si>
    <t>Torsion Class</t>
  </si>
  <si>
    <t>Sec . LABOR</t>
  </si>
  <si>
    <t>AIM-1</t>
  </si>
  <si>
    <t>AIM-3</t>
  </si>
  <si>
    <t>#5</t>
  </si>
  <si>
    <t>BEN</t>
  </si>
  <si>
    <t>LABOR</t>
  </si>
  <si>
    <t>PITTSBURGH</t>
  </si>
  <si>
    <t>#4</t>
  </si>
  <si>
    <t>AIM/10</t>
  </si>
  <si>
    <t>#24</t>
  </si>
  <si>
    <t>{goto}im41~</t>
  </si>
  <si>
    <t>/pprim1...iu20~agpq</t>
  </si>
  <si>
    <t>/pprim21...iu40~agpq</t>
  </si>
  <si>
    <t>/pprim41...iu60~agpq</t>
  </si>
  <si>
    <t>/xmmover~</t>
  </si>
  <si>
    <t>/xmmover12~</t>
  </si>
  <si>
    <t>TORSION/WIRE FORM</t>
  </si>
  <si>
    <t>CV A-231</t>
  </si>
  <si>
    <t>O.D.</t>
  </si>
  <si>
    <t>CS A-401</t>
  </si>
  <si>
    <t>T</t>
  </si>
  <si>
    <t>302 STAINLESS</t>
  </si>
  <si>
    <t>A</t>
  </si>
  <si>
    <t>316 STAINLESS</t>
  </si>
  <si>
    <t>B</t>
  </si>
  <si>
    <t>17-7 PH</t>
  </si>
  <si>
    <t>L</t>
  </si>
  <si>
    <t>PHOS. BRONZE</t>
  </si>
  <si>
    <t>E</t>
  </si>
  <si>
    <t>MONEL K 500</t>
  </si>
  <si>
    <t>A-286 ALLOY</t>
  </si>
  <si>
    <t>1</t>
  </si>
  <si>
    <t>INCONEL 600</t>
  </si>
  <si>
    <t>INCONEL X750</t>
  </si>
  <si>
    <t>TABLE 3</t>
  </si>
  <si>
    <t>FREE HEIGHT (COMP. &amp; EXT)</t>
  </si>
  <si>
    <t>TABLE 4:</t>
  </si>
  <si>
    <t>COIL DIA. (TORSION)</t>
  </si>
  <si>
    <t>EXTENSION SPRING</t>
  </si>
  <si>
    <t>TORSION SPRING</t>
  </si>
  <si>
    <t>C</t>
  </si>
  <si>
    <t>TRANS</t>
  </si>
  <si>
    <t>MATL CODE</t>
  </si>
  <si>
    <t>DIA.</t>
  </si>
  <si>
    <t>PRICE/LB</t>
  </si>
  <si>
    <t>BAR LGTH</t>
  </si>
  <si>
    <t>WT/SPG</t>
  </si>
  <si>
    <t>ENDS</t>
  </si>
  <si>
    <t>MEAN DIA</t>
  </si>
  <si>
    <t>DRAWING NO.</t>
  </si>
  <si>
    <t>\P</t>
  </si>
  <si>
    <t>P Ext</t>
  </si>
  <si>
    <t>P Tor</t>
  </si>
  <si>
    <t>P Comp</t>
  </si>
  <si>
    <t>PRICES</t>
  </si>
  <si>
    <t>TORSION STRESSES</t>
  </si>
  <si>
    <t>MUSIC</t>
  </si>
  <si>
    <t>PLAIN</t>
  </si>
  <si>
    <t>LEFT</t>
  </si>
  <si>
    <t>RIGHT</t>
  </si>
  <si>
    <t>#11</t>
  </si>
  <si>
    <t>#11.5</t>
  </si>
  <si>
    <t>#12</t>
  </si>
  <si>
    <t>#13</t>
  </si>
  <si>
    <t>Finish:</t>
  </si>
  <si>
    <t/>
  </si>
  <si>
    <t>CODE</t>
  </si>
  <si>
    <t>MATERIAL</t>
  </si>
  <si>
    <t>TORS. MOD.</t>
  </si>
  <si>
    <t>ELAST. MOD.</t>
  </si>
  <si>
    <t>DENSITY</t>
  </si>
  <si>
    <t>TABLE 2</t>
  </si>
  <si>
    <t>COIL DIA. (COMP. &amp; EXT.)</t>
  </si>
  <si>
    <t xml:space="preserve"> </t>
  </si>
  <si>
    <t>MUSIC A-228</t>
  </si>
  <si>
    <t>HD A-227</t>
  </si>
  <si>
    <t>Type:</t>
  </si>
  <si>
    <t>Part Number:</t>
  </si>
  <si>
    <t>ROUND WIRE DESIGN</t>
  </si>
  <si>
    <t>/xmMover12~</t>
  </si>
  <si>
    <t>COIL</t>
  </si>
  <si>
    <t>COILER</t>
  </si>
  <si>
    <t>S. WAGE</t>
  </si>
  <si>
    <t>L. WAGE</t>
  </si>
  <si>
    <t>#11,5</t>
  </si>
  <si>
    <t>Price Lb</t>
  </si>
  <si>
    <t>Size</t>
  </si>
  <si>
    <t>Mat</t>
  </si>
  <si>
    <t>H.D.</t>
  </si>
  <si>
    <t>O.T.</t>
  </si>
  <si>
    <t>CV</t>
  </si>
  <si>
    <t>CS</t>
  </si>
  <si>
    <t>302SS</t>
  </si>
  <si>
    <t>316SS</t>
  </si>
  <si>
    <t>17-7PH</t>
  </si>
  <si>
    <t>PH BR</t>
  </si>
  <si>
    <t xml:space="preserve">MONEL </t>
  </si>
  <si>
    <t>A-286</t>
  </si>
  <si>
    <t>INC 600</t>
  </si>
  <si>
    <t>INC X750</t>
  </si>
  <si>
    <t>mover12</t>
  </si>
  <si>
    <t>Comp</t>
  </si>
  <si>
    <t>Ext</t>
  </si>
  <si>
    <t>Tor</t>
  </si>
  <si>
    <t>MENU</t>
  </si>
  <si>
    <t>View Extension Data</t>
  </si>
  <si>
    <t>View Torsion Data</t>
  </si>
  <si>
    <t>Print Extension Data</t>
  </si>
  <si>
    <t>Print Torsion Data</t>
  </si>
  <si>
    <t>Go to Main Menu</t>
  </si>
  <si>
    <t>{goto}im1~</t>
  </si>
  <si>
    <t>{goto}im21~</t>
  </si>
  <si>
    <t>OIL TEMP. A-229</t>
  </si>
  <si>
    <t>I.D.</t>
  </si>
  <si>
    <t>d/Code</t>
  </si>
  <si>
    <t>MONEL 400</t>
  </si>
  <si>
    <t>NICHROME V</t>
  </si>
  <si>
    <t>ELGILOY</t>
  </si>
  <si>
    <t>BRASS #260</t>
  </si>
  <si>
    <t>HOT WOUND (- 1/2 ADDL. COIL)</t>
  </si>
  <si>
    <t>MP35N</t>
  </si>
  <si>
    <t>SPRING DIAMETER</t>
  </si>
  <si>
    <t>Music A-228</t>
  </si>
  <si>
    <t>Hard Drawn A-227</t>
  </si>
  <si>
    <t>Chrome Vanadium A-231</t>
  </si>
  <si>
    <t>Chrome Silicon A-401</t>
  </si>
  <si>
    <t>Oil Tempered A-229</t>
  </si>
  <si>
    <t>Phosphor Bronze</t>
  </si>
  <si>
    <t>316 Stainless</t>
  </si>
  <si>
    <t>302 Stainless</t>
  </si>
  <si>
    <t>Monel K 500</t>
  </si>
  <si>
    <t>A-286 Alloy</t>
  </si>
  <si>
    <t>Inconel 600</t>
  </si>
  <si>
    <t>Inconel X750</t>
  </si>
  <si>
    <t>Beryllium Copper</t>
  </si>
  <si>
    <t>Monel 400</t>
  </si>
  <si>
    <t>Nichrome V</t>
  </si>
  <si>
    <t>Elgiloy</t>
  </si>
  <si>
    <t>Brass #260</t>
  </si>
  <si>
    <t>Hot Wound (- 1/2 Addl. Coil)</t>
  </si>
  <si>
    <t>VARIABLES</t>
  </si>
  <si>
    <t>DONALDSON COMPANY INC</t>
  </si>
  <si>
    <t>GRIND</t>
  </si>
  <si>
    <t>GRINDER</t>
  </si>
  <si>
    <t>WAGE</t>
  </si>
  <si>
    <t>M-U</t>
  </si>
  <si>
    <t>SM-905</t>
  </si>
  <si>
    <t>#905</t>
  </si>
  <si>
    <t>#120/14A</t>
  </si>
  <si>
    <t>TUB</t>
  </si>
  <si>
    <t>SECONDARY</t>
  </si>
  <si>
    <t>PAINT</t>
  </si>
  <si>
    <t>INSPECT</t>
  </si>
  <si>
    <t>BLUE</t>
  </si>
  <si>
    <t>WHLBRATE</t>
  </si>
  <si>
    <t>PRESET</t>
  </si>
  <si>
    <t>DEFAULT</t>
  </si>
  <si>
    <t>MATL</t>
  </si>
  <si>
    <t>SCRAP</t>
  </si>
  <si>
    <t>O.P.</t>
  </si>
  <si>
    <t>COM. RATE</t>
  </si>
  <si>
    <t>Direction of Wind:</t>
  </si>
  <si>
    <t>Wire Length</t>
  </si>
  <si>
    <t>Directions for using Excel Design Sheet</t>
  </si>
  <si>
    <t>BODY DIAMETER TOL (COMPRESSION, EXTENSION &amp; TORSION)</t>
  </si>
  <si>
    <t>N/A</t>
  </si>
  <si>
    <t>OD</t>
  </si>
  <si>
    <t>INDEX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</si>
</sst>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_)"/>
    <numFmt numFmtId="167" formatCode="0.0000_)"/>
    <numFmt numFmtId="168" formatCode="dd\-mmm\-yy_)"/>
    <numFmt numFmtId="169" formatCode="&quot;$&quot;#,##0.0000_);\(&quot;$&quot;#,##0.0000\)"/>
    <numFmt numFmtId="170" formatCode="mmm\-yy_)"/>
    <numFmt numFmtId="171" formatCode="0.00000"/>
    <numFmt numFmtId="172" formatCode="0.0000"/>
    <numFmt numFmtId="173" formatCode="0.000"/>
    <numFmt numFmtId="174" formatCode="0.0%"/>
    <numFmt numFmtId="175" formatCode="0.0"/>
    <numFmt numFmtId="176" formatCode="_(&quot;$&quot;* #,##0.000_);_(&quot;$&quot;* \(#,##0.000\);_(&quot;$&quot;* &quot;-&quot;??_);_(@_)"/>
    <numFmt numFmtId="177" formatCode="m/d/yy\ h:mm\ AM/PM"/>
    <numFmt numFmtId="178" formatCode="_(* #,##0.0_);_(* \(#,##0.0\);_(* &quot;-&quot;??_);_(@_)"/>
    <numFmt numFmtId="179" formatCode="#,##0.000_);\(#,##0.000\)"/>
    <numFmt numFmtId="180" formatCode="#,##0.0_);\(#,##0.0\)"/>
    <numFmt numFmtId="181" formatCode="#,##0.0000_);\(#,##0.0000\)"/>
    <numFmt numFmtId="182" formatCode="_(* #,##0.000_);_(* \(#,##0.000\);_(* &quot;-&quot;??_);_(@_)"/>
    <numFmt numFmtId="183" formatCode=".000"/>
    <numFmt numFmtId="184" formatCode="mmmm\ d\,\ yyyy"/>
    <numFmt numFmtId="185" formatCode="mdyyh:mm"/>
    <numFmt numFmtId="186" formatCode="_(* #,##0.000000000_);_(* \(#,##0.000000000\);_(* &quot;-&quot;??_);_(@_)"/>
    <numFmt numFmtId="187" formatCode="00"/>
    <numFmt numFmtId="188" formatCode="_(* #,##0_);_(* \(#,##0\);_(* &quot;-&quot;??_);_(@_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_(* #,##0.0000_);_(* \(#,##0.0000\);_(* &quot;-&quot;??_);_(@_)"/>
    <numFmt numFmtId="196" formatCode="0.000000000000"/>
    <numFmt numFmtId="197" formatCode="0.0000000000000"/>
    <numFmt numFmtId="198" formatCode="0.00000000000000"/>
    <numFmt numFmtId="199" formatCode="0.000000000000000"/>
    <numFmt numFmtId="200" formatCode="_(&quot;$&quot;* #,##0.0_);_(&quot;$&quot;* \(#,##0.0\);_(&quot;$&quot;* &quot;-&quot;??_);_(@_)"/>
    <numFmt numFmtId="201" formatCode="_(* #,##0.000_);_(* \(#,##0.000\);_(* &quot;-&quot;???_);_(@_)"/>
    <numFmt numFmtId="202" formatCode="_(* #,##0.0000_);_(* \(#,##0.0000\);_(* &quot;-&quot;????_);_(@_)"/>
    <numFmt numFmtId="203" formatCode="_(&quot;$&quot;* #,##0.0000_);_(&quot;$&quot;* \(#,##0.0000\);_(&quot;$&quot;* &quot;-&quot;????_);_(@_)"/>
    <numFmt numFmtId="204" formatCode="_(&quot;$&quot;* #,##0.0000_);_(&quot;$&quot;* \(#,##0.0000\);_(&quot;$&quot;* &quot;-&quot;??_);_(@_)"/>
    <numFmt numFmtId="205" formatCode="mmddyy\-hmm"/>
    <numFmt numFmtId="206" formatCode="_(&quot;$&quot;* #,##0_);_(&quot;$&quot;* \(#,##0\);_(&quot;$&quot;* &quot;-&quot;??_);_(@_)"/>
    <numFmt numFmtId="207" formatCode="_(* #,##0.00000_);_(* \(#,##0.00000\);_(* &quot;-&quot;??_);_(@_)"/>
    <numFmt numFmtId="208" formatCode="mmdyy\-hh:mm"/>
    <numFmt numFmtId="209" formatCode="m/d/yy\ h:mm"/>
    <numFmt numFmtId="210" formatCode="m/d/yyh:mm"/>
    <numFmt numFmtId="211" formatCode="mmddyyh:mm"/>
    <numFmt numFmtId="212" formatCode="mmddyy\-hh:mm"/>
    <numFmt numFmtId="213" formatCode="mmddyy\-hhmm"/>
  </numFmts>
  <fonts count="51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12"/>
      <name val="Arial Black"/>
      <family val="2"/>
    </font>
    <font>
      <sz val="10"/>
      <color indexed="8"/>
      <name val="Courier"/>
      <family val="3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name val="Courier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tted">
        <color indexed="48"/>
      </bottom>
    </border>
    <border>
      <left>
        <color indexed="63"/>
      </left>
      <right style="medium"/>
      <top style="thin"/>
      <bottom style="dotted">
        <color indexed="48"/>
      </bottom>
    </border>
    <border>
      <left style="medium"/>
      <right>
        <color indexed="63"/>
      </right>
      <top style="dotted">
        <color indexed="48"/>
      </top>
      <bottom style="dotted">
        <color indexed="48"/>
      </bottom>
    </border>
    <border>
      <left>
        <color indexed="63"/>
      </left>
      <right style="medium"/>
      <top style="dotted">
        <color indexed="48"/>
      </top>
      <bottom style="dotted">
        <color indexed="48"/>
      </bottom>
    </border>
    <border>
      <left style="medium"/>
      <right>
        <color indexed="63"/>
      </right>
      <top style="dotted">
        <color indexed="48"/>
      </top>
      <bottom style="double"/>
    </border>
    <border>
      <left style="double"/>
      <right>
        <color indexed="63"/>
      </right>
      <top style="dotted">
        <color indexed="48"/>
      </top>
      <bottom style="dotted">
        <color indexed="48"/>
      </bottom>
    </border>
    <border>
      <left style="double"/>
      <right>
        <color indexed="63"/>
      </right>
      <top style="dotted">
        <color indexed="48"/>
      </top>
      <bottom style="double"/>
    </border>
    <border>
      <left>
        <color indexed="63"/>
      </left>
      <right style="medium"/>
      <top style="dotted">
        <color indexed="48"/>
      </top>
      <bottom style="double"/>
    </border>
    <border>
      <left style="double"/>
      <right style="dotted">
        <color indexed="48"/>
      </right>
      <top>
        <color indexed="63"/>
      </top>
      <bottom style="dotted">
        <color indexed="48"/>
      </bottom>
    </border>
    <border>
      <left style="medium"/>
      <right style="thin"/>
      <top>
        <color indexed="63"/>
      </top>
      <bottom style="thin"/>
    </border>
    <border>
      <left style="double"/>
      <right style="dotted">
        <color indexed="48"/>
      </right>
      <top style="dotted">
        <color indexed="48"/>
      </top>
      <bottom style="dotted">
        <color indexed="48"/>
      </bottom>
    </border>
    <border>
      <left style="double"/>
      <right style="dotted">
        <color indexed="48"/>
      </right>
      <top style="dotted">
        <color indexed="48"/>
      </top>
      <bottom style="medium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thin"/>
      <bottom style="dotted">
        <color indexed="48"/>
      </bottom>
    </border>
    <border>
      <left style="dotted">
        <color indexed="48"/>
      </left>
      <right style="medium"/>
      <top style="dotted">
        <color indexed="48"/>
      </top>
      <bottom style="medium"/>
    </border>
    <border>
      <left style="dotted">
        <color indexed="48"/>
      </left>
      <right style="medium"/>
      <top>
        <color indexed="63"/>
      </top>
      <bottom style="dotted">
        <color indexed="48"/>
      </bottom>
    </border>
    <border>
      <left style="dotted">
        <color indexed="48"/>
      </left>
      <right>
        <color indexed="63"/>
      </right>
      <top style="dotted">
        <color indexed="48"/>
      </top>
      <bottom style="dotted">
        <color indexed="48"/>
      </bottom>
    </border>
    <border>
      <left style="medium"/>
      <right style="double"/>
      <top style="thin"/>
      <bottom style="dotted">
        <color indexed="48"/>
      </bottom>
    </border>
    <border>
      <left style="medium"/>
      <right style="double"/>
      <top style="dotted">
        <color indexed="48"/>
      </top>
      <bottom style="dotted">
        <color indexed="48"/>
      </bottom>
    </border>
    <border>
      <left style="medium"/>
      <right style="double"/>
      <top style="dotted">
        <color indexed="4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2" fillId="0" borderId="0" xfId="0" applyNumberFormat="1" applyFont="1" applyAlignment="1" applyProtection="1">
      <alignment/>
      <protection locked="0"/>
    </xf>
    <xf numFmtId="169" fontId="2" fillId="0" borderId="0" xfId="0" applyNumberFormat="1" applyFont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170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7" fontId="0" fillId="33" borderId="0" xfId="0" applyNumberFormat="1" applyFill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 quotePrefix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 horizontal="fill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13" xfId="0" applyNumberFormat="1" applyFont="1" applyBorder="1" applyAlignment="1">
      <alignment/>
    </xf>
    <xf numFmtId="0" fontId="0" fillId="33" borderId="0" xfId="0" applyNumberFormat="1" applyFont="1" applyFill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44" applyNumberFormat="1" applyFont="1" applyAlignment="1">
      <alignment/>
    </xf>
    <xf numFmtId="173" fontId="0" fillId="0" borderId="0" xfId="0" applyNumberFormat="1" applyFont="1" applyAlignment="1" applyProtection="1">
      <alignment/>
      <protection/>
    </xf>
    <xf numFmtId="18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 hidden="1"/>
    </xf>
    <xf numFmtId="188" fontId="6" fillId="34" borderId="15" xfId="42" applyNumberFormat="1" applyFont="1" applyFill="1" applyBorder="1" applyAlignment="1" applyProtection="1">
      <alignment/>
      <protection hidden="1"/>
    </xf>
    <xf numFmtId="0" fontId="6" fillId="34" borderId="16" xfId="0" applyFont="1" applyFill="1" applyBorder="1" applyAlignment="1" applyProtection="1">
      <alignment/>
      <protection hidden="1"/>
    </xf>
    <xf numFmtId="43" fontId="6" fillId="34" borderId="17" xfId="42" applyFont="1" applyFill="1" applyBorder="1" applyAlignment="1" applyProtection="1">
      <alignment/>
      <protection hidden="1"/>
    </xf>
    <xf numFmtId="182" fontId="6" fillId="34" borderId="17" xfId="42" applyNumberFormat="1" applyFont="1" applyFill="1" applyBorder="1" applyAlignment="1" applyProtection="1">
      <alignment/>
      <protection hidden="1"/>
    </xf>
    <xf numFmtId="178" fontId="6" fillId="34" borderId="17" xfId="42" applyNumberFormat="1" applyFont="1" applyFill="1" applyBorder="1" applyAlignment="1" applyProtection="1">
      <alignment/>
      <protection hidden="1"/>
    </xf>
    <xf numFmtId="173" fontId="6" fillId="34" borderId="17" xfId="0" applyNumberFormat="1" applyFont="1" applyFill="1" applyBorder="1" applyAlignment="1" applyProtection="1">
      <alignment/>
      <protection hidden="1"/>
    </xf>
    <xf numFmtId="188" fontId="6" fillId="34" borderId="17" xfId="42" applyNumberFormat="1" applyFont="1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4" borderId="19" xfId="0" applyFont="1" applyFill="1" applyBorder="1" applyAlignment="1" applyProtection="1">
      <alignment/>
      <protection hidden="1"/>
    </xf>
    <xf numFmtId="195" fontId="6" fillId="34" borderId="17" xfId="42" applyNumberFormat="1" applyFont="1" applyFill="1" applyBorder="1" applyAlignment="1" applyProtection="1">
      <alignment/>
      <protection hidden="1"/>
    </xf>
    <xf numFmtId="0" fontId="6" fillId="34" borderId="20" xfId="0" applyFont="1" applyFill="1" applyBorder="1" applyAlignment="1" applyProtection="1">
      <alignment/>
      <protection hidden="1"/>
    </xf>
    <xf numFmtId="182" fontId="6" fillId="34" borderId="21" xfId="42" applyNumberFormat="1" applyFont="1" applyFill="1" applyBorder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9" fillId="34" borderId="22" xfId="0" applyFont="1" applyFill="1" applyBorder="1" applyAlignment="1" applyProtection="1">
      <alignment/>
      <protection hidden="1"/>
    </xf>
    <xf numFmtId="0" fontId="6" fillId="34" borderId="23" xfId="0" applyFont="1" applyFill="1" applyBorder="1" applyAlignment="1" applyProtection="1">
      <alignment horizontal="right"/>
      <protection hidden="1"/>
    </xf>
    <xf numFmtId="0" fontId="9" fillId="34" borderId="24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" fillId="35" borderId="0" xfId="0" applyFont="1" applyFill="1" applyAlignment="1" applyProtection="1">
      <alignment/>
      <protection hidden="1"/>
    </xf>
    <xf numFmtId="0" fontId="9" fillId="34" borderId="25" xfId="0" applyFont="1" applyFill="1" applyBorder="1" applyAlignment="1" applyProtection="1">
      <alignment/>
      <protection hidden="1"/>
    </xf>
    <xf numFmtId="0" fontId="6" fillId="34" borderId="26" xfId="0" applyFont="1" applyFill="1" applyBorder="1" applyAlignment="1" applyProtection="1">
      <alignment horizontal="center"/>
      <protection hidden="1"/>
    </xf>
    <xf numFmtId="0" fontId="9" fillId="34" borderId="27" xfId="0" applyFont="1" applyFill="1" applyBorder="1" applyAlignment="1" applyProtection="1">
      <alignment/>
      <protection hidden="1"/>
    </xf>
    <xf numFmtId="0" fontId="9" fillId="34" borderId="19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1" fillId="0" borderId="0" xfId="0" applyNumberFormat="1" applyFont="1" applyFill="1" applyBorder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0" fontId="1" fillId="35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36" borderId="28" xfId="0" applyFont="1" applyFill="1" applyBorder="1" applyAlignment="1" applyProtection="1">
      <alignment horizontal="left"/>
      <protection hidden="1"/>
    </xf>
    <xf numFmtId="0" fontId="6" fillId="37" borderId="29" xfId="0" applyFont="1" applyFill="1" applyBorder="1" applyAlignment="1" applyProtection="1">
      <alignment horizontal="left"/>
      <protection hidden="1" locked="0"/>
    </xf>
    <xf numFmtId="49" fontId="6" fillId="37" borderId="30" xfId="0" applyNumberFormat="1" applyFont="1" applyFill="1" applyBorder="1" applyAlignment="1" applyProtection="1">
      <alignment horizontal="left"/>
      <protection hidden="1" locked="0"/>
    </xf>
    <xf numFmtId="0" fontId="6" fillId="37" borderId="30" xfId="0" applyFont="1" applyFill="1" applyBorder="1" applyAlignment="1" applyProtection="1">
      <alignment horizontal="left"/>
      <protection hidden="1" locked="0"/>
    </xf>
    <xf numFmtId="0" fontId="6" fillId="37" borderId="28" xfId="0" applyFont="1" applyFill="1" applyBorder="1" applyAlignment="1" applyProtection="1">
      <alignment horizontal="left"/>
      <protection hidden="1" locked="0"/>
    </xf>
    <xf numFmtId="0" fontId="6" fillId="37" borderId="15" xfId="0" applyFont="1" applyFill="1" applyBorder="1" applyAlignment="1" applyProtection="1">
      <alignment/>
      <protection hidden="1" locked="0"/>
    </xf>
    <xf numFmtId="173" fontId="6" fillId="37" borderId="17" xfId="0" applyNumberFormat="1" applyFont="1" applyFill="1" applyBorder="1" applyAlignment="1" applyProtection="1">
      <alignment/>
      <protection hidden="1" locked="0"/>
    </xf>
    <xf numFmtId="175" fontId="6" fillId="37" borderId="17" xfId="0" applyNumberFormat="1" applyFont="1" applyFill="1" applyBorder="1" applyAlignment="1" applyProtection="1">
      <alignment/>
      <protection hidden="1" locked="0"/>
    </xf>
    <xf numFmtId="0" fontId="6" fillId="37" borderId="17" xfId="0" applyFont="1" applyFill="1" applyBorder="1" applyAlignment="1" applyProtection="1">
      <alignment/>
      <protection hidden="1" locked="0"/>
    </xf>
    <xf numFmtId="0" fontId="9" fillId="36" borderId="19" xfId="0" applyFont="1" applyFill="1" applyBorder="1" applyAlignment="1" applyProtection="1">
      <alignment/>
      <protection hidden="1" locked="0"/>
    </xf>
    <xf numFmtId="0" fontId="6" fillId="34" borderId="31" xfId="0" applyFont="1" applyFill="1" applyBorder="1" applyAlignment="1" applyProtection="1">
      <alignment/>
      <protection hidden="1" locked="0"/>
    </xf>
    <xf numFmtId="0" fontId="6" fillId="34" borderId="32" xfId="0" applyFont="1" applyFill="1" applyBorder="1" applyAlignment="1" applyProtection="1">
      <alignment horizontal="center"/>
      <protection hidden="1" locked="0"/>
    </xf>
    <xf numFmtId="0" fontId="6" fillId="34" borderId="32" xfId="0" applyFont="1" applyFill="1" applyBorder="1" applyAlignment="1" applyProtection="1">
      <alignment/>
      <protection hidden="1" locked="0"/>
    </xf>
    <xf numFmtId="2" fontId="6" fillId="34" borderId="32" xfId="0" applyNumberFormat="1" applyFont="1" applyFill="1" applyBorder="1" applyAlignment="1" applyProtection="1">
      <alignment/>
      <protection hidden="1" locked="0"/>
    </xf>
    <xf numFmtId="173" fontId="6" fillId="34" borderId="32" xfId="0" applyNumberFormat="1" applyFont="1" applyFill="1" applyBorder="1" applyAlignment="1" applyProtection="1">
      <alignment/>
      <protection hidden="1" locked="0"/>
    </xf>
    <xf numFmtId="0" fontId="6" fillId="34" borderId="33" xfId="0" applyFont="1" applyFill="1" applyBorder="1" applyAlignment="1" applyProtection="1">
      <alignment horizontal="center"/>
      <protection hidden="1" locked="0"/>
    </xf>
    <xf numFmtId="0" fontId="7" fillId="35" borderId="0" xfId="53" applyFill="1" applyAlignment="1" applyProtection="1">
      <alignment/>
      <protection hidden="1"/>
    </xf>
    <xf numFmtId="0" fontId="13" fillId="0" borderId="0" xfId="0" applyNumberFormat="1" applyFont="1" applyAlignment="1">
      <alignment horizontal="center"/>
    </xf>
    <xf numFmtId="182" fontId="13" fillId="0" borderId="0" xfId="42" applyNumberFormat="1" applyFont="1" applyAlignment="1">
      <alignment/>
    </xf>
    <xf numFmtId="182" fontId="0" fillId="0" borderId="0" xfId="42" applyNumberFormat="1" applyFont="1" applyAlignment="1">
      <alignment/>
    </xf>
    <xf numFmtId="0" fontId="14" fillId="0" borderId="0" xfId="0" applyFont="1" applyAlignment="1">
      <alignment/>
    </xf>
    <xf numFmtId="173" fontId="14" fillId="0" borderId="0" xfId="0" applyNumberFormat="1" applyFont="1" applyAlignment="1">
      <alignment/>
    </xf>
    <xf numFmtId="188" fontId="14" fillId="0" borderId="0" xfId="0" applyNumberFormat="1" applyFont="1" applyAlignment="1">
      <alignment/>
    </xf>
    <xf numFmtId="0" fontId="7" fillId="35" borderId="0" xfId="53" applyFont="1" applyFill="1" applyAlignment="1" applyProtection="1">
      <alignment/>
      <protection hidden="1"/>
    </xf>
    <xf numFmtId="0" fontId="0" fillId="0" borderId="0" xfId="0" applyAlignment="1">
      <alignment horizontal="center"/>
    </xf>
    <xf numFmtId="0" fontId="10" fillId="34" borderId="34" xfId="0" applyFont="1" applyFill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0" fillId="34" borderId="35" xfId="0" applyFont="1" applyFill="1" applyBorder="1" applyAlignment="1" applyProtection="1">
      <alignment horizontal="center"/>
      <protection hidden="1"/>
    </xf>
    <xf numFmtId="0" fontId="10" fillId="34" borderId="36" xfId="0" applyFont="1" applyFill="1" applyBorder="1" applyAlignment="1" applyProtection="1">
      <alignment horizontal="center"/>
      <protection hidden="1"/>
    </xf>
    <xf numFmtId="0" fontId="10" fillId="34" borderId="37" xfId="0" applyFont="1" applyFill="1" applyBorder="1" applyAlignment="1" applyProtection="1">
      <alignment horizontal="center"/>
      <protection hidden="1"/>
    </xf>
    <xf numFmtId="0" fontId="10" fillId="34" borderId="38" xfId="0" applyFont="1" applyFill="1" applyBorder="1" applyAlignment="1" applyProtection="1">
      <alignment horizontal="center"/>
      <protection hidden="1"/>
    </xf>
    <xf numFmtId="0" fontId="6" fillId="34" borderId="39" xfId="0" applyFont="1" applyFill="1" applyBorder="1" applyAlignment="1" applyProtection="1">
      <alignment horizontal="center" vertical="center"/>
      <protection hidden="1"/>
    </xf>
    <xf numFmtId="0" fontId="6" fillId="34" borderId="40" xfId="0" applyFont="1" applyFill="1" applyBorder="1" applyAlignment="1" applyProtection="1">
      <alignment horizontal="center" vertical="center"/>
      <protection hidden="1"/>
    </xf>
    <xf numFmtId="0" fontId="6" fillId="34" borderId="41" xfId="0" applyFont="1" applyFill="1" applyBorder="1" applyAlignment="1" applyProtection="1">
      <alignment horizontal="center" vertical="center"/>
      <protection hidden="1"/>
    </xf>
    <xf numFmtId="0" fontId="6" fillId="34" borderId="42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6" fillId="34" borderId="45" xfId="0" applyFont="1" applyFill="1" applyBorder="1" applyAlignment="1" applyProtection="1">
      <alignment horizontal="center"/>
      <protection hidden="1"/>
    </xf>
    <xf numFmtId="177" fontId="6" fillId="34" borderId="46" xfId="0" applyNumberFormat="1" applyFont="1" applyFill="1" applyBorder="1" applyAlignment="1" applyProtection="1">
      <alignment horizontal="center"/>
      <protection hidden="1"/>
    </xf>
    <xf numFmtId="177" fontId="6" fillId="34" borderId="47" xfId="0" applyNumberFormat="1" applyFont="1" applyFill="1" applyBorder="1" applyAlignment="1" applyProtection="1">
      <alignment horizontal="center"/>
      <protection hidden="1"/>
    </xf>
    <xf numFmtId="0" fontId="10" fillId="34" borderId="48" xfId="0" applyFont="1" applyFill="1" applyBorder="1" applyAlignment="1" applyProtection="1">
      <alignment horizontal="center"/>
      <protection hidden="1"/>
    </xf>
    <xf numFmtId="0" fontId="10" fillId="34" borderId="49" xfId="0" applyFont="1" applyFill="1" applyBorder="1" applyAlignment="1" applyProtection="1">
      <alignment horizontal="center"/>
      <protection hidden="1"/>
    </xf>
    <xf numFmtId="0" fontId="10" fillId="34" borderId="50" xfId="0" applyFont="1" applyFill="1" applyBorder="1" applyAlignment="1" applyProtection="1">
      <alignment horizontal="center"/>
      <protection hidden="1"/>
    </xf>
    <xf numFmtId="0" fontId="0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u val="single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u val="single"/>
        <color indexed="10"/>
      </font>
      <fill>
        <patternFill patternType="none"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/>
        <u val="double"/>
        <color indexed="10"/>
      </font>
    </dxf>
    <dxf>
      <font>
        <b/>
        <i val="0"/>
        <u val="single"/>
        <color indexed="10"/>
      </font>
    </dxf>
    <dxf>
      <font>
        <b/>
        <i/>
        <u val="double"/>
        <color indexed="10"/>
      </font>
      <fill>
        <patternFill patternType="solid">
          <bgColor indexed="64"/>
        </patternFill>
      </fill>
    </dxf>
    <dxf>
      <font>
        <b/>
        <i/>
        <u val="double"/>
        <color rgb="FFFF0000"/>
      </font>
      <fill>
        <patternFill patternType="solid">
          <bgColor indexed="64"/>
        </patternFill>
      </fill>
      <border/>
    </dxf>
    <dxf>
      <font>
        <b/>
        <i val="0"/>
        <u val="single"/>
        <color rgb="FFFF0000"/>
      </font>
      <border/>
    </dxf>
    <dxf>
      <font>
        <b/>
        <i/>
        <u val="double"/>
        <color rgb="FFFF0000"/>
      </font>
      <border/>
    </dxf>
    <dxf>
      <font>
        <b/>
        <i val="0"/>
        <u val="single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u val="single"/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7</xdr:col>
      <xdr:colOff>219075</xdr:colOff>
      <xdr:row>41</xdr:row>
      <xdr:rowOff>57150</xdr:rowOff>
    </xdr:to>
    <xdr:pic>
      <xdr:nvPicPr>
        <xdr:cNvPr id="1" name="Picture 459" descr="Catalog Letterhe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53050"/>
          <a:ext cx="84296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39</xdr:row>
      <xdr:rowOff>95250</xdr:rowOff>
    </xdr:from>
    <xdr:to>
      <xdr:col>4</xdr:col>
      <xdr:colOff>1304925</xdr:colOff>
      <xdr:row>40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5210175" y="7353300"/>
          <a:ext cx="19050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485775</xdr:colOff>
      <xdr:row>26</xdr:row>
      <xdr:rowOff>152400</xdr:rowOff>
    </xdr:from>
    <xdr:to>
      <xdr:col>1</xdr:col>
      <xdr:colOff>1714500</xdr:colOff>
      <xdr:row>28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933950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mondwire.com/pdfs/DirectionsExceldesignsheet.pdf" TargetMode="External" /><Relationship Id="rId2" Type="http://schemas.openxmlformats.org/officeDocument/2006/relationships/hyperlink" Target="http://www.diamondwire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IU165"/>
  <sheetViews>
    <sheetView showGridLines="0" zoomScalePageLayoutView="0" workbookViewId="0" topLeftCell="Q130">
      <selection activeCell="Q139" sqref="Q139"/>
    </sheetView>
  </sheetViews>
  <sheetFormatPr defaultColWidth="9.625" defaultRowHeight="12.75"/>
  <cols>
    <col min="1" max="1" width="3.625" style="0" customWidth="1"/>
    <col min="2" max="2" width="15.625" style="0" customWidth="1"/>
    <col min="3" max="15" width="9.625" style="0" customWidth="1"/>
    <col min="16" max="16" width="12.625" style="0" customWidth="1"/>
    <col min="17" max="31" width="9.625" style="0" customWidth="1"/>
    <col min="32" max="32" width="10.625" style="0" customWidth="1"/>
    <col min="33" max="38" width="9.625" style="0" customWidth="1"/>
    <col min="39" max="39" width="10.625" style="0" customWidth="1"/>
    <col min="40" max="248" width="9.625" style="0" customWidth="1"/>
    <col min="249" max="249" width="17.625" style="0" customWidth="1"/>
    <col min="250" max="254" width="11.625" style="0" customWidth="1"/>
  </cols>
  <sheetData>
    <row r="1" spans="2:255" ht="12">
      <c r="B1" s="4"/>
      <c r="C1" s="4"/>
      <c r="D1" s="4"/>
      <c r="E1" s="4"/>
      <c r="F1" s="4"/>
      <c r="G1" s="4"/>
      <c r="L1" t="s">
        <v>124</v>
      </c>
      <c r="R1" s="100" t="s">
        <v>50</v>
      </c>
      <c r="S1" s="100"/>
      <c r="T1" s="100"/>
      <c r="U1" s="100"/>
      <c r="V1" s="100"/>
      <c r="W1" s="100"/>
      <c r="X1" s="100"/>
      <c r="IO1" s="1"/>
      <c r="IP1" s="5"/>
      <c r="IQ1" s="5"/>
      <c r="IR1" s="5"/>
      <c r="IS1" s="5"/>
      <c r="IT1" s="5"/>
      <c r="IU1" s="1"/>
    </row>
    <row r="2" spans="9:255" ht="12">
      <c r="I2" s="3" t="s">
        <v>87</v>
      </c>
      <c r="J2" s="3" t="s">
        <v>125</v>
      </c>
      <c r="K2" s="3" t="s">
        <v>126</v>
      </c>
      <c r="L2" s="3" t="s">
        <v>127</v>
      </c>
      <c r="M2" s="3" t="s">
        <v>13</v>
      </c>
      <c r="N2" s="3" t="s">
        <v>14</v>
      </c>
      <c r="O2" s="3" t="s">
        <v>15</v>
      </c>
      <c r="U2" s="17" t="s">
        <v>124</v>
      </c>
      <c r="IO2" s="1"/>
      <c r="IP2" s="1"/>
      <c r="IQ2" s="1"/>
      <c r="IR2" s="1"/>
      <c r="IS2" s="1"/>
      <c r="IT2" s="1"/>
      <c r="IU2" s="1"/>
    </row>
    <row r="3" spans="2:255" ht="12">
      <c r="B3" s="4"/>
      <c r="C3" s="4"/>
      <c r="D3" s="4"/>
      <c r="E3" s="4"/>
      <c r="F3" s="4"/>
      <c r="G3" s="4"/>
      <c r="I3">
        <v>0.001</v>
      </c>
      <c r="J3" s="3" t="s">
        <v>16</v>
      </c>
      <c r="K3">
        <v>14</v>
      </c>
      <c r="L3">
        <v>4.75</v>
      </c>
      <c r="M3">
        <v>2.2</v>
      </c>
      <c r="N3">
        <v>2.5</v>
      </c>
      <c r="O3">
        <v>1.5</v>
      </c>
      <c r="P3">
        <v>1</v>
      </c>
      <c r="R3" s="16" t="s">
        <v>87</v>
      </c>
      <c r="S3" s="16" t="s">
        <v>125</v>
      </c>
      <c r="T3" s="16" t="s">
        <v>126</v>
      </c>
      <c r="U3" s="16" t="s">
        <v>127</v>
      </c>
      <c r="V3" s="16" t="s">
        <v>13</v>
      </c>
      <c r="W3" s="16" t="s">
        <v>14</v>
      </c>
      <c r="X3" s="16" t="s">
        <v>15</v>
      </c>
      <c r="IO3" s="1"/>
      <c r="IP3" s="6"/>
      <c r="IQ3" s="6"/>
      <c r="IR3" s="6"/>
      <c r="IS3" s="6"/>
      <c r="IT3" s="6"/>
      <c r="IU3" s="1"/>
    </row>
    <row r="4" spans="2:255" ht="12">
      <c r="B4" s="4"/>
      <c r="C4" s="4"/>
      <c r="D4" s="4"/>
      <c r="E4" s="4"/>
      <c r="F4" s="4"/>
      <c r="G4" s="4"/>
      <c r="I4">
        <v>0.028</v>
      </c>
      <c r="J4" s="3" t="s">
        <v>104</v>
      </c>
      <c r="K4">
        <v>14</v>
      </c>
      <c r="L4">
        <v>4.75</v>
      </c>
      <c r="M4">
        <v>2.3</v>
      </c>
      <c r="N4">
        <v>3</v>
      </c>
      <c r="O4">
        <v>1.5</v>
      </c>
      <c r="P4">
        <v>2</v>
      </c>
      <c r="R4" s="18">
        <v>0.04</v>
      </c>
      <c r="S4" s="19" t="s">
        <v>52</v>
      </c>
      <c r="T4" s="18">
        <v>16.52</v>
      </c>
      <c r="U4" s="18">
        <v>5.62</v>
      </c>
      <c r="V4" s="18">
        <v>2.6</v>
      </c>
      <c r="W4" s="18">
        <v>2.7</v>
      </c>
      <c r="X4" s="18">
        <v>1.5</v>
      </c>
      <c r="AB4" s="1"/>
      <c r="AC4" s="1"/>
      <c r="AD4" s="1"/>
      <c r="AF4" s="2"/>
      <c r="IO4" s="1"/>
      <c r="IP4" s="1"/>
      <c r="IQ4" s="1"/>
      <c r="IR4" s="1"/>
      <c r="IS4" s="1"/>
      <c r="IT4" s="1"/>
      <c r="IU4" s="1"/>
    </row>
    <row r="5" spans="2:255" ht="12">
      <c r="B5" s="4"/>
      <c r="C5" s="4"/>
      <c r="D5" s="4"/>
      <c r="E5" s="4"/>
      <c r="F5" s="4"/>
      <c r="G5" s="4"/>
      <c r="I5">
        <v>0.073</v>
      </c>
      <c r="J5" s="3" t="s">
        <v>105</v>
      </c>
      <c r="K5">
        <v>14</v>
      </c>
      <c r="L5">
        <v>4.75</v>
      </c>
      <c r="M5">
        <v>2.4</v>
      </c>
      <c r="N5">
        <v>3.2</v>
      </c>
      <c r="O5">
        <v>1.5</v>
      </c>
      <c r="P5">
        <v>3</v>
      </c>
      <c r="R5" s="18">
        <v>0.08</v>
      </c>
      <c r="S5" s="19" t="s">
        <v>45</v>
      </c>
      <c r="T5" s="18">
        <v>16.52</v>
      </c>
      <c r="U5" s="18">
        <v>5.62</v>
      </c>
      <c r="V5" s="18">
        <v>3</v>
      </c>
      <c r="W5" s="18">
        <v>3.2</v>
      </c>
      <c r="X5" s="18">
        <v>1.5</v>
      </c>
      <c r="AB5" s="1"/>
      <c r="AE5" s="1"/>
      <c r="AF5" s="1"/>
      <c r="IO5" s="1"/>
      <c r="IP5" s="7"/>
      <c r="IQ5" s="7"/>
      <c r="IR5" s="7"/>
      <c r="IS5" s="7"/>
      <c r="IT5" s="7"/>
      <c r="IU5" s="1"/>
    </row>
    <row r="6" spans="2:255" ht="12">
      <c r="B6" s="4"/>
      <c r="C6" s="4"/>
      <c r="D6" s="4"/>
      <c r="E6" s="4"/>
      <c r="F6" s="4"/>
      <c r="G6" s="4"/>
      <c r="I6">
        <v>0.107</v>
      </c>
      <c r="J6" s="3" t="s">
        <v>106</v>
      </c>
      <c r="K6">
        <v>14</v>
      </c>
      <c r="L6">
        <v>4.75</v>
      </c>
      <c r="M6">
        <v>2.6</v>
      </c>
      <c r="N6">
        <v>3.4</v>
      </c>
      <c r="O6">
        <v>1.5</v>
      </c>
      <c r="P6">
        <v>4</v>
      </c>
      <c r="R6" s="18">
        <v>0.113</v>
      </c>
      <c r="S6" s="20" t="s">
        <v>128</v>
      </c>
      <c r="T6" s="18">
        <v>16.52</v>
      </c>
      <c r="U6" s="18">
        <v>5.62</v>
      </c>
      <c r="V6" s="18">
        <v>3</v>
      </c>
      <c r="W6" s="18">
        <v>3.2</v>
      </c>
      <c r="X6" s="18">
        <v>1.5</v>
      </c>
      <c r="IO6" s="1"/>
      <c r="IP6" s="1"/>
      <c r="IQ6" s="1"/>
      <c r="IR6" s="1"/>
      <c r="IS6" s="1"/>
      <c r="IT6" s="1"/>
      <c r="IU6" s="1"/>
    </row>
    <row r="7" spans="9:255" ht="12">
      <c r="I7">
        <v>0.147</v>
      </c>
      <c r="J7" s="3" t="s">
        <v>29</v>
      </c>
      <c r="K7">
        <v>14</v>
      </c>
      <c r="L7">
        <v>14</v>
      </c>
      <c r="M7">
        <v>3.8</v>
      </c>
      <c r="N7">
        <v>3.8</v>
      </c>
      <c r="O7">
        <v>0.75</v>
      </c>
      <c r="P7">
        <v>5</v>
      </c>
      <c r="R7" s="18">
        <v>0.148</v>
      </c>
      <c r="S7" s="20" t="s">
        <v>106</v>
      </c>
      <c r="T7" s="18">
        <v>16.52</v>
      </c>
      <c r="U7" s="18">
        <v>5.62</v>
      </c>
      <c r="V7" s="18">
        <v>3.1</v>
      </c>
      <c r="W7" s="18">
        <v>3.5</v>
      </c>
      <c r="X7" s="18">
        <v>1.5</v>
      </c>
      <c r="IO7" s="1"/>
      <c r="IP7" s="8"/>
      <c r="IQ7" s="8"/>
      <c r="IR7" s="8"/>
      <c r="IS7" s="8"/>
      <c r="IT7" s="8"/>
      <c r="IU7" s="1"/>
    </row>
    <row r="8" spans="9:255" ht="12">
      <c r="I8">
        <v>0.20600000000000002</v>
      </c>
      <c r="J8" s="3" t="s">
        <v>107</v>
      </c>
      <c r="K8">
        <v>14</v>
      </c>
      <c r="L8">
        <v>6.25</v>
      </c>
      <c r="M8">
        <v>3.8</v>
      </c>
      <c r="N8">
        <v>4.3</v>
      </c>
      <c r="O8">
        <v>1.75</v>
      </c>
      <c r="P8">
        <v>6</v>
      </c>
      <c r="R8" s="18">
        <v>0.282</v>
      </c>
      <c r="S8" s="19" t="s">
        <v>46</v>
      </c>
      <c r="T8" s="18">
        <v>16.54</v>
      </c>
      <c r="U8" s="18">
        <v>8.1</v>
      </c>
      <c r="V8" s="18">
        <v>3.7</v>
      </c>
      <c r="W8" s="18">
        <v>3.8</v>
      </c>
      <c r="X8" s="18">
        <v>2</v>
      </c>
      <c r="IN8" s="1"/>
      <c r="IO8" s="1"/>
      <c r="IP8" s="1"/>
      <c r="IQ8" s="1"/>
      <c r="IR8" s="1"/>
      <c r="IS8" s="1"/>
      <c r="IT8" s="1"/>
      <c r="IU8" s="1"/>
    </row>
    <row r="9" spans="9:255" ht="12">
      <c r="I9" s="4">
        <v>0.032</v>
      </c>
      <c r="J9" s="4">
        <v>10</v>
      </c>
      <c r="K9" s="4">
        <v>14.85</v>
      </c>
      <c r="L9" s="4">
        <v>10</v>
      </c>
      <c r="M9" s="4">
        <v>3</v>
      </c>
      <c r="N9" s="4">
        <v>3.5</v>
      </c>
      <c r="O9" s="4">
        <v>8</v>
      </c>
      <c r="P9">
        <v>7</v>
      </c>
      <c r="R9" s="18">
        <v>0.438</v>
      </c>
      <c r="S9" s="20" t="s">
        <v>51</v>
      </c>
      <c r="T9" s="18">
        <v>16.75</v>
      </c>
      <c r="U9" s="18">
        <v>16.75</v>
      </c>
      <c r="V9" s="18">
        <v>4.3</v>
      </c>
      <c r="W9" s="18">
        <v>4.3</v>
      </c>
      <c r="X9" s="18">
        <v>2</v>
      </c>
      <c r="AL9" s="9"/>
      <c r="IN9" s="1"/>
      <c r="IO9" s="1"/>
      <c r="IP9" s="1"/>
      <c r="IQ9" s="1"/>
      <c r="IR9" s="1"/>
      <c r="IS9" s="1"/>
      <c r="IT9" s="1"/>
      <c r="IU9" s="1"/>
    </row>
    <row r="10" spans="9:255" ht="12">
      <c r="I10" s="4">
        <v>0.052</v>
      </c>
      <c r="J10" s="4">
        <v>15</v>
      </c>
      <c r="K10" s="4">
        <v>14.85</v>
      </c>
      <c r="L10" s="4">
        <v>10</v>
      </c>
      <c r="M10" s="4">
        <v>3</v>
      </c>
      <c r="N10" s="4">
        <v>3.5</v>
      </c>
      <c r="O10" s="4">
        <v>8</v>
      </c>
      <c r="P10">
        <v>8</v>
      </c>
      <c r="R10" s="18">
        <v>0.501</v>
      </c>
      <c r="S10" s="20" t="s">
        <v>53</v>
      </c>
      <c r="T10" s="18">
        <v>16.75</v>
      </c>
      <c r="U10" s="18">
        <v>16.75</v>
      </c>
      <c r="V10" s="18">
        <v>4.3</v>
      </c>
      <c r="W10" s="18">
        <v>4.3</v>
      </c>
      <c r="X10" s="18">
        <v>2</v>
      </c>
      <c r="IN10" s="1"/>
      <c r="IO10" s="1"/>
      <c r="IP10" s="1"/>
      <c r="IQ10" s="1"/>
      <c r="IR10" s="1"/>
      <c r="IS10" s="1"/>
      <c r="IT10" s="1"/>
      <c r="IU10" s="1"/>
    </row>
    <row r="11" spans="9:255" ht="12">
      <c r="I11" s="4">
        <v>0.095</v>
      </c>
      <c r="J11" s="4">
        <v>30</v>
      </c>
      <c r="K11" s="4">
        <v>14.85</v>
      </c>
      <c r="L11" s="4">
        <v>10</v>
      </c>
      <c r="M11" s="4">
        <v>3</v>
      </c>
      <c r="N11" s="4">
        <v>3.7</v>
      </c>
      <c r="O11" s="4">
        <v>8</v>
      </c>
      <c r="P11">
        <v>9</v>
      </c>
      <c r="R11" s="1">
        <v>0.65</v>
      </c>
      <c r="S11" s="20" t="s">
        <v>47</v>
      </c>
      <c r="T11" s="18">
        <v>17.34</v>
      </c>
      <c r="U11" s="18">
        <v>17.34</v>
      </c>
      <c r="V11" s="18">
        <v>5.2</v>
      </c>
      <c r="W11" s="18">
        <v>4.3</v>
      </c>
      <c r="X11" s="18">
        <v>2</v>
      </c>
      <c r="IN11" s="1"/>
      <c r="IO11" s="1"/>
      <c r="IP11" s="1"/>
      <c r="IQ11" s="1"/>
      <c r="IR11" s="1"/>
      <c r="IS11" s="1"/>
      <c r="IT11" s="1"/>
      <c r="IU11" s="1"/>
    </row>
    <row r="12" spans="9:255" ht="12">
      <c r="I12" s="4">
        <v>0.283</v>
      </c>
      <c r="J12" s="4">
        <v>40</v>
      </c>
      <c r="K12" s="4">
        <v>14.85</v>
      </c>
      <c r="L12" s="4">
        <v>10</v>
      </c>
      <c r="M12" s="4">
        <v>3</v>
      </c>
      <c r="N12" s="4">
        <v>3.6</v>
      </c>
      <c r="O12" s="4">
        <v>8</v>
      </c>
      <c r="P12">
        <v>10</v>
      </c>
      <c r="R12" s="17" t="s">
        <v>109</v>
      </c>
      <c r="IN12" s="1"/>
      <c r="IO12" s="1"/>
      <c r="IP12" s="1"/>
      <c r="IQ12" s="1"/>
      <c r="IR12" s="1"/>
      <c r="IS12" s="1"/>
      <c r="IT12" s="1"/>
      <c r="IU12" s="1"/>
    </row>
    <row r="13" spans="18:255" ht="12">
      <c r="R13" s="17" t="s">
        <v>109</v>
      </c>
      <c r="U13" s="17" t="s">
        <v>186</v>
      </c>
      <c r="IN13" s="1"/>
      <c r="IO13" s="1"/>
      <c r="IP13" s="1"/>
      <c r="IQ13" s="1"/>
      <c r="IR13" s="1"/>
      <c r="IS13" s="1"/>
      <c r="IT13" s="1"/>
      <c r="IU13" s="1"/>
    </row>
    <row r="14" spans="18:255" ht="12">
      <c r="R14" s="16" t="s">
        <v>87</v>
      </c>
      <c r="S14" s="16" t="s">
        <v>187</v>
      </c>
      <c r="T14" s="16" t="s">
        <v>188</v>
      </c>
      <c r="U14" s="16" t="s">
        <v>189</v>
      </c>
      <c r="V14" s="16" t="s">
        <v>15</v>
      </c>
      <c r="IN14" s="1"/>
      <c r="IO14" s="1"/>
      <c r="IP14" s="1"/>
      <c r="IQ14" s="1"/>
      <c r="IR14" s="1"/>
      <c r="IS14" s="1"/>
      <c r="IT14" s="1"/>
      <c r="IU14" s="1"/>
    </row>
    <row r="15" spans="18:255" ht="12">
      <c r="R15" s="18">
        <v>0.001</v>
      </c>
      <c r="S15" s="16">
        <v>905</v>
      </c>
      <c r="T15" s="18">
        <v>14</v>
      </c>
      <c r="U15" s="18">
        <v>2.8</v>
      </c>
      <c r="V15" s="18">
        <v>0.75</v>
      </c>
      <c r="IN15" s="1"/>
      <c r="IO15" s="1"/>
      <c r="IP15" s="1"/>
      <c r="IQ15" s="1"/>
      <c r="IR15" s="1"/>
      <c r="IS15" s="1"/>
      <c r="IT15" s="1"/>
      <c r="IU15" s="1"/>
    </row>
    <row r="16" spans="18:255" ht="12">
      <c r="R16" s="18">
        <v>0.12</v>
      </c>
      <c r="S16" s="16" t="s">
        <v>48</v>
      </c>
      <c r="T16" s="18">
        <v>15.7</v>
      </c>
      <c r="U16" s="18">
        <v>2.4</v>
      </c>
      <c r="V16" s="18">
        <v>0.75</v>
      </c>
      <c r="IN16" s="1"/>
      <c r="IO16" s="1"/>
      <c r="IP16" s="1"/>
      <c r="IQ16" s="1"/>
      <c r="IR16" s="1"/>
      <c r="IS16" s="1"/>
      <c r="IT16" s="1"/>
      <c r="IU16" s="1"/>
    </row>
    <row r="17" spans="18:255" ht="12">
      <c r="R17" s="18">
        <v>0.187</v>
      </c>
      <c r="S17" s="16">
        <v>918</v>
      </c>
      <c r="T17" s="18">
        <v>15</v>
      </c>
      <c r="U17" s="18">
        <v>3.1</v>
      </c>
      <c r="V17" s="18">
        <v>0.75</v>
      </c>
      <c r="IN17" s="1"/>
      <c r="IO17" s="1"/>
      <c r="IP17" s="1"/>
      <c r="IQ17" s="1"/>
      <c r="IR17" s="1"/>
      <c r="IS17" s="1"/>
      <c r="IT17" s="1"/>
      <c r="IU17" s="1"/>
    </row>
    <row r="18" spans="18:255" ht="12">
      <c r="R18" s="18">
        <v>0.376</v>
      </c>
      <c r="S18" s="16">
        <v>53</v>
      </c>
      <c r="T18" s="18">
        <v>19.5</v>
      </c>
      <c r="U18" s="18">
        <v>2.9</v>
      </c>
      <c r="V18" s="18">
        <v>1</v>
      </c>
      <c r="IN18" s="1"/>
      <c r="IO18" s="1"/>
      <c r="IP18" s="1"/>
      <c r="IQ18" s="1"/>
      <c r="IR18" s="1"/>
      <c r="IS18" s="1"/>
      <c r="IT18" s="1"/>
      <c r="IU18" s="1"/>
    </row>
    <row r="19" spans="18:255" ht="12">
      <c r="R19" s="18">
        <v>0.5</v>
      </c>
      <c r="S19" s="16">
        <v>72</v>
      </c>
      <c r="T19" s="18">
        <v>25.2</v>
      </c>
      <c r="U19" s="18">
        <v>2.9</v>
      </c>
      <c r="V19" s="18">
        <v>1</v>
      </c>
      <c r="IN19" s="1"/>
      <c r="IO19" s="1"/>
      <c r="IP19" s="1"/>
      <c r="IQ19" s="1"/>
      <c r="IR19" s="1"/>
      <c r="IS19" s="1"/>
      <c r="IT19" s="1"/>
      <c r="IU19" s="1"/>
    </row>
    <row r="20" spans="9:255" ht="12">
      <c r="P20" s="2">
        <f ca="1">TRUNC(NOW())</f>
        <v>40302</v>
      </c>
      <c r="R20" s="18">
        <v>0.5</v>
      </c>
      <c r="S20" s="16">
        <v>226</v>
      </c>
      <c r="T20" s="18">
        <v>16</v>
      </c>
      <c r="U20" s="18">
        <v>3</v>
      </c>
      <c r="V20" s="18">
        <v>0.75</v>
      </c>
      <c r="IN20" s="1"/>
      <c r="IO20" s="1"/>
      <c r="IP20" s="1"/>
      <c r="IQ20" s="1"/>
      <c r="IR20" s="1"/>
      <c r="IS20" s="1"/>
      <c r="IT20" s="1"/>
      <c r="IU20" s="1"/>
    </row>
    <row r="21" spans="9:255" ht="12">
      <c r="L21" t="s">
        <v>186</v>
      </c>
      <c r="R21" s="18">
        <v>0.63</v>
      </c>
      <c r="S21" s="16" t="s">
        <v>193</v>
      </c>
      <c r="T21" s="18">
        <v>14.75</v>
      </c>
      <c r="U21" s="18">
        <v>2.9</v>
      </c>
      <c r="V21" s="18">
        <v>0.75</v>
      </c>
      <c r="IN21" s="1"/>
      <c r="IO21" s="1"/>
      <c r="IP21" s="1"/>
      <c r="IQ21" s="1"/>
      <c r="IR21" s="1"/>
      <c r="IS21" s="1"/>
      <c r="IT21" s="1"/>
      <c r="IU21" s="1"/>
    </row>
    <row r="22" spans="4:255" ht="12">
      <c r="D22" s="12"/>
      <c r="E22" s="12"/>
      <c r="I22" s="3" t="s">
        <v>87</v>
      </c>
      <c r="J22" s="3" t="s">
        <v>187</v>
      </c>
      <c r="K22" s="3" t="s">
        <v>188</v>
      </c>
      <c r="L22" s="3" t="s">
        <v>189</v>
      </c>
      <c r="M22" s="3" t="s">
        <v>15</v>
      </c>
      <c r="R22" s="18"/>
      <c r="S22" s="17"/>
      <c r="T22" s="18"/>
      <c r="U22" s="18"/>
      <c r="V22" s="17" t="s">
        <v>109</v>
      </c>
      <c r="IN22" s="1"/>
      <c r="IO22" s="1"/>
      <c r="IP22" s="1"/>
      <c r="IQ22" s="1"/>
      <c r="IR22" s="1"/>
      <c r="IS22" s="1"/>
      <c r="IT22" s="1"/>
      <c r="IU22" s="1"/>
    </row>
    <row r="23" spans="9:255" ht="12">
      <c r="I23">
        <v>0.001</v>
      </c>
      <c r="J23" s="3" t="s">
        <v>190</v>
      </c>
      <c r="K23">
        <v>10.76</v>
      </c>
      <c r="L23">
        <v>2.4</v>
      </c>
      <c r="M23">
        <v>0.75</v>
      </c>
      <c r="R23" s="18"/>
      <c r="S23" s="19"/>
      <c r="T23" s="18"/>
      <c r="U23" s="18"/>
      <c r="V23" s="17" t="s">
        <v>109</v>
      </c>
      <c r="IN23" s="1"/>
      <c r="IO23" s="1"/>
      <c r="IP23" s="1"/>
      <c r="IQ23" s="1"/>
      <c r="IR23" s="1"/>
      <c r="IS23" s="1"/>
      <c r="IT23" s="1"/>
      <c r="IU23" s="1"/>
    </row>
    <row r="24" spans="3:255" ht="12">
      <c r="C24" s="3"/>
      <c r="I24">
        <v>0.063</v>
      </c>
      <c r="J24" s="3" t="s">
        <v>191</v>
      </c>
      <c r="K24">
        <v>10.4</v>
      </c>
      <c r="L24">
        <v>3.1</v>
      </c>
      <c r="M24">
        <v>0.75</v>
      </c>
      <c r="R24" s="18"/>
      <c r="S24" s="19"/>
      <c r="T24" s="18"/>
      <c r="U24" s="18"/>
      <c r="V24" s="17" t="s">
        <v>109</v>
      </c>
      <c r="AM24" s="2"/>
      <c r="IN24" s="1"/>
      <c r="IO24" s="1"/>
      <c r="IP24" s="1"/>
      <c r="IQ24" s="1"/>
      <c r="IR24" s="1"/>
      <c r="IS24" s="1"/>
      <c r="IT24" s="1"/>
      <c r="IU24" s="1"/>
    </row>
    <row r="25" spans="3:255" ht="12">
      <c r="C25" s="3"/>
      <c r="I25">
        <v>0.148</v>
      </c>
      <c r="J25" s="3" t="s">
        <v>192</v>
      </c>
      <c r="K25">
        <v>11.08</v>
      </c>
      <c r="L25">
        <v>3</v>
      </c>
      <c r="M25">
        <v>0.75</v>
      </c>
      <c r="R25" s="18"/>
      <c r="S25" s="20"/>
      <c r="T25" s="18"/>
      <c r="U25" s="18"/>
      <c r="V25" s="17" t="s">
        <v>109</v>
      </c>
      <c r="IN25" s="1"/>
      <c r="IO25" s="1"/>
      <c r="IP25" s="1"/>
      <c r="IQ25" s="1"/>
      <c r="IR25" s="1"/>
      <c r="IS25" s="1"/>
      <c r="IT25" s="1"/>
      <c r="IU25" s="1"/>
    </row>
    <row r="26" spans="3:255" ht="12">
      <c r="C26" s="3"/>
      <c r="I26">
        <v>0.188</v>
      </c>
      <c r="J26" s="3" t="s">
        <v>193</v>
      </c>
      <c r="K26">
        <v>10.76</v>
      </c>
      <c r="L26">
        <v>2.4</v>
      </c>
      <c r="M26">
        <v>0.75</v>
      </c>
      <c r="R26" s="18"/>
      <c r="S26" s="20"/>
      <c r="T26" s="18"/>
      <c r="U26" s="18"/>
      <c r="V26" s="17" t="s">
        <v>109</v>
      </c>
      <c r="IN26" s="1"/>
      <c r="IO26" s="1"/>
      <c r="IP26" s="1"/>
      <c r="IQ26" s="1"/>
      <c r="IR26" s="1"/>
      <c r="IS26" s="1"/>
      <c r="IT26" s="1"/>
      <c r="IU26" s="1"/>
    </row>
    <row r="27" spans="3:255" ht="12">
      <c r="C27" s="3"/>
      <c r="R27" s="18"/>
      <c r="S27" s="19"/>
      <c r="T27" s="18"/>
      <c r="U27" s="18"/>
      <c r="IN27" s="1"/>
      <c r="IO27" s="1"/>
      <c r="IP27" s="1"/>
      <c r="IQ27" s="1"/>
      <c r="IR27" s="1"/>
      <c r="IS27" s="1"/>
      <c r="IT27" s="1"/>
      <c r="IU27" s="1"/>
    </row>
    <row r="28" spans="11:255" ht="12">
      <c r="K28" t="s">
        <v>194</v>
      </c>
      <c r="S28" s="20"/>
      <c r="IN28" s="1"/>
      <c r="IO28" s="1"/>
      <c r="IP28" s="1"/>
      <c r="IQ28" s="1"/>
      <c r="IR28" s="1"/>
      <c r="IS28" s="1"/>
      <c r="IT28" s="1"/>
      <c r="IU28" s="1"/>
    </row>
    <row r="29" spans="9:255" ht="12">
      <c r="I29" s="3" t="s">
        <v>110</v>
      </c>
      <c r="J29" s="3" t="s">
        <v>17</v>
      </c>
      <c r="K29" s="3" t="s">
        <v>188</v>
      </c>
      <c r="L29" s="3" t="s">
        <v>189</v>
      </c>
      <c r="S29" s="20"/>
      <c r="IN29" s="1"/>
      <c r="IO29" s="1"/>
      <c r="IP29" s="1"/>
      <c r="IQ29" s="1"/>
      <c r="IR29" s="1"/>
      <c r="IS29" s="1"/>
      <c r="IT29" s="1"/>
      <c r="IU29" s="1"/>
    </row>
    <row r="30" spans="9:255" ht="12">
      <c r="I30">
        <v>1</v>
      </c>
      <c r="J30" t="s">
        <v>15</v>
      </c>
      <c r="K30">
        <v>17.2</v>
      </c>
      <c r="L30">
        <v>3.1</v>
      </c>
      <c r="S30" s="20"/>
      <c r="Z30" t="s">
        <v>31</v>
      </c>
      <c r="IN30" s="1"/>
      <c r="IO30" s="1"/>
      <c r="IP30" s="1"/>
      <c r="IQ30" s="1"/>
      <c r="IR30" s="1"/>
      <c r="IS30" s="1"/>
      <c r="IT30" s="1"/>
      <c r="IU30" s="1"/>
    </row>
    <row r="31" spans="9:255" ht="12">
      <c r="I31">
        <v>2</v>
      </c>
      <c r="J31" t="s">
        <v>44</v>
      </c>
      <c r="K31">
        <v>10.7</v>
      </c>
      <c r="L31">
        <v>4</v>
      </c>
      <c r="M31" t="s">
        <v>25</v>
      </c>
      <c r="T31" s="17" t="s">
        <v>194</v>
      </c>
      <c r="U31" s="17" t="s">
        <v>109</v>
      </c>
      <c r="IN31" s="1"/>
      <c r="IO31" s="1"/>
      <c r="IP31" s="1"/>
      <c r="IQ31" s="1"/>
      <c r="IR31" s="1"/>
      <c r="IS31" s="1"/>
      <c r="IT31" s="1"/>
      <c r="IU31" s="1"/>
    </row>
    <row r="32" spans="9:255" ht="12">
      <c r="I32">
        <v>3</v>
      </c>
      <c r="J32" t="s">
        <v>195</v>
      </c>
      <c r="K32">
        <v>10.7</v>
      </c>
      <c r="L32">
        <v>4</v>
      </c>
      <c r="R32" s="16" t="s">
        <v>110</v>
      </c>
      <c r="S32" s="16" t="s">
        <v>17</v>
      </c>
      <c r="T32" s="16" t="s">
        <v>188</v>
      </c>
      <c r="U32" s="16" t="s">
        <v>189</v>
      </c>
      <c r="IN32" s="1"/>
      <c r="IO32" s="1"/>
      <c r="IP32" s="1"/>
      <c r="IQ32" s="1"/>
      <c r="IR32" s="1"/>
      <c r="IS32" s="1"/>
      <c r="IT32" s="1"/>
      <c r="IU32" s="1"/>
    </row>
    <row r="33" spans="9:255" ht="12">
      <c r="I33">
        <v>4</v>
      </c>
      <c r="J33" t="s">
        <v>196</v>
      </c>
      <c r="K33">
        <v>14.41</v>
      </c>
      <c r="L33">
        <v>3.1</v>
      </c>
      <c r="R33" s="18">
        <v>1</v>
      </c>
      <c r="S33" s="17" t="s">
        <v>15</v>
      </c>
      <c r="T33" s="18">
        <v>16.52</v>
      </c>
      <c r="U33" s="18">
        <v>3.2</v>
      </c>
      <c r="IN33" s="1"/>
      <c r="IO33" s="1"/>
      <c r="IP33" s="1"/>
      <c r="IQ33" s="1"/>
      <c r="IR33" s="1"/>
      <c r="IS33" s="1"/>
      <c r="IT33" s="1"/>
      <c r="IU33" s="1"/>
    </row>
    <row r="34" spans="9:255" ht="12">
      <c r="I34">
        <v>5</v>
      </c>
      <c r="J34" t="s">
        <v>197</v>
      </c>
      <c r="K34">
        <v>0.08</v>
      </c>
      <c r="L34">
        <v>1</v>
      </c>
      <c r="R34" s="18">
        <v>2</v>
      </c>
      <c r="S34" s="17" t="s">
        <v>49</v>
      </c>
      <c r="T34" s="18">
        <v>10.15</v>
      </c>
      <c r="U34" s="18">
        <v>4.1</v>
      </c>
      <c r="IN34" s="1"/>
      <c r="IO34" s="1"/>
      <c r="IP34" s="1"/>
      <c r="IQ34" s="1"/>
      <c r="IR34" s="1"/>
      <c r="IS34" s="1"/>
      <c r="IT34" s="1"/>
      <c r="IU34" s="1"/>
    </row>
    <row r="35" spans="9:255" ht="12">
      <c r="I35">
        <v>6</v>
      </c>
      <c r="J35" t="s">
        <v>198</v>
      </c>
      <c r="K35">
        <v>0.02</v>
      </c>
      <c r="L35">
        <v>2.5</v>
      </c>
      <c r="R35" s="18">
        <v>3</v>
      </c>
      <c r="S35" s="17" t="s">
        <v>195</v>
      </c>
      <c r="T35" s="18">
        <v>10.15</v>
      </c>
      <c r="U35" s="18">
        <v>4.2</v>
      </c>
      <c r="IN35" s="1"/>
      <c r="IO35" s="1"/>
      <c r="IP35" s="1"/>
      <c r="IQ35" s="1"/>
      <c r="IR35" s="1"/>
      <c r="IS35" s="1"/>
      <c r="IT35" s="1"/>
      <c r="IU35" s="1"/>
    </row>
    <row r="36" spans="12:255" ht="12">
      <c r="R36" s="18">
        <v>4</v>
      </c>
      <c r="S36" s="17" t="s">
        <v>199</v>
      </c>
      <c r="T36" s="18">
        <v>13.7</v>
      </c>
      <c r="U36" s="18">
        <v>3.1</v>
      </c>
      <c r="IN36" s="1"/>
      <c r="IO36" s="1"/>
      <c r="IP36" s="1"/>
      <c r="IQ36" s="1"/>
      <c r="IR36" s="1"/>
      <c r="IS36" s="1"/>
      <c r="IT36" s="1"/>
      <c r="IU36" s="1"/>
    </row>
    <row r="37" spans="5:255" ht="12">
      <c r="E37" s="13"/>
      <c r="F37" s="13"/>
      <c r="J37" t="s">
        <v>85</v>
      </c>
      <c r="N37" t="s">
        <v>200</v>
      </c>
      <c r="R37" s="18">
        <v>5</v>
      </c>
      <c r="S37" s="17" t="s">
        <v>197</v>
      </c>
      <c r="T37" s="18">
        <v>0.1</v>
      </c>
      <c r="U37" s="18">
        <v>1</v>
      </c>
      <c r="IN37" s="1"/>
      <c r="IO37" s="1"/>
      <c r="IP37" s="1"/>
      <c r="IQ37" s="1"/>
      <c r="IR37" s="1"/>
      <c r="IS37" s="1"/>
      <c r="IT37" s="1"/>
      <c r="IU37" s="1"/>
    </row>
    <row r="38" spans="5:255" ht="12">
      <c r="E38" s="14"/>
      <c r="F38" s="14"/>
      <c r="I38" t="s">
        <v>201</v>
      </c>
      <c r="K38" s="15">
        <f>Design!C10</f>
        <v>0</v>
      </c>
      <c r="M38" t="s">
        <v>202</v>
      </c>
      <c r="N38" s="10">
        <v>0.1</v>
      </c>
      <c r="R38" s="18">
        <v>6</v>
      </c>
      <c r="S38" s="17" t="s">
        <v>198</v>
      </c>
      <c r="T38" s="18">
        <v>10.15</v>
      </c>
      <c r="U38" s="18">
        <v>4.2</v>
      </c>
      <c r="IN38" s="1"/>
      <c r="IO38" s="1"/>
      <c r="IP38" s="1"/>
      <c r="IQ38" s="1"/>
      <c r="IR38" s="1"/>
      <c r="IS38" s="1"/>
      <c r="IT38" s="1"/>
      <c r="IU38" s="1"/>
    </row>
    <row r="39" spans="9:255" ht="12">
      <c r="I39" t="s">
        <v>87</v>
      </c>
      <c r="K39" s="11">
        <f>Design!C11</f>
        <v>0</v>
      </c>
      <c r="M39" s="1"/>
      <c r="N39" s="10"/>
      <c r="T39" s="18">
        <v>16.52</v>
      </c>
      <c r="U39" s="18">
        <v>3.3</v>
      </c>
      <c r="IN39" s="1"/>
      <c r="IO39" s="1"/>
      <c r="IP39" s="1"/>
      <c r="IQ39" s="1"/>
      <c r="IR39" s="1"/>
      <c r="IS39" s="1"/>
      <c r="IT39" s="1"/>
      <c r="IU39" s="1"/>
    </row>
    <row r="40" spans="9:255" ht="12">
      <c r="I40" t="s">
        <v>88</v>
      </c>
      <c r="K40" s="11">
        <f>Design!C12</f>
        <v>0</v>
      </c>
      <c r="M40" t="s">
        <v>203</v>
      </c>
      <c r="N40" s="10">
        <v>0.2</v>
      </c>
      <c r="IN40" s="1"/>
      <c r="IO40" s="1"/>
      <c r="IP40" s="1"/>
      <c r="IQ40" s="1"/>
      <c r="IR40" s="1"/>
      <c r="IS40" s="1"/>
      <c r="IT40" s="1"/>
      <c r="IU40" s="1"/>
    </row>
    <row r="41" spans="9:255" ht="12">
      <c r="I41" t="s">
        <v>89</v>
      </c>
      <c r="K41" s="11">
        <f>Design!C22</f>
        <v>0</v>
      </c>
      <c r="M41" s="1"/>
      <c r="N41" s="10">
        <v>0.2</v>
      </c>
      <c r="AF41" s="1">
        <v>0</v>
      </c>
      <c r="AG41" s="1">
        <v>1</v>
      </c>
      <c r="AH41" s="1">
        <v>2</v>
      </c>
      <c r="AI41" s="1">
        <v>3</v>
      </c>
      <c r="AJ41" s="1">
        <v>4</v>
      </c>
      <c r="AK41" s="1">
        <v>5</v>
      </c>
      <c r="AL41" s="1">
        <v>6</v>
      </c>
      <c r="AM41" s="1">
        <v>7</v>
      </c>
      <c r="AN41" s="1">
        <v>8</v>
      </c>
      <c r="AO41" s="1">
        <v>9</v>
      </c>
      <c r="AP41" s="1">
        <v>10</v>
      </c>
      <c r="AQ41" s="1">
        <v>11</v>
      </c>
      <c r="AR41" s="1">
        <v>12</v>
      </c>
      <c r="AS41" s="1">
        <v>13</v>
      </c>
      <c r="AT41" s="1">
        <v>14</v>
      </c>
      <c r="AU41" s="1">
        <v>15</v>
      </c>
      <c r="AV41" s="1">
        <v>16</v>
      </c>
      <c r="IN41" s="1"/>
      <c r="IO41" s="1"/>
      <c r="IP41" s="1"/>
      <c r="IQ41" s="1"/>
      <c r="IR41" s="1"/>
      <c r="IS41" s="1"/>
      <c r="IT41" s="1"/>
      <c r="IU41" s="1"/>
    </row>
    <row r="42" spans="9:255" ht="12">
      <c r="I42" t="s">
        <v>90</v>
      </c>
      <c r="K42" s="11">
        <f>Design!C23</f>
        <v>0</v>
      </c>
      <c r="M42" t="s">
        <v>204</v>
      </c>
      <c r="N42" s="10">
        <v>0.05</v>
      </c>
      <c r="AF42" s="1">
        <v>0.001</v>
      </c>
      <c r="AG42" s="1">
        <v>1.2</v>
      </c>
      <c r="AH42" s="1">
        <v>1.2</v>
      </c>
      <c r="AI42" s="1">
        <v>1.2</v>
      </c>
      <c r="AJ42" s="1">
        <v>1.2</v>
      </c>
      <c r="AK42" s="1">
        <v>1.2</v>
      </c>
      <c r="AL42" s="1">
        <v>1.3</v>
      </c>
      <c r="AM42" s="1">
        <v>1.3</v>
      </c>
      <c r="AN42" s="1">
        <v>1.3</v>
      </c>
      <c r="AO42" s="1">
        <v>1.3</v>
      </c>
      <c r="AP42" s="1">
        <v>1.3</v>
      </c>
      <c r="AQ42" s="1">
        <v>1.3</v>
      </c>
      <c r="AR42" s="1">
        <v>1.3</v>
      </c>
      <c r="AS42" s="1">
        <v>1.3</v>
      </c>
      <c r="AT42" s="1">
        <v>1.3</v>
      </c>
      <c r="AU42" s="1">
        <v>1.3</v>
      </c>
      <c r="AV42" s="1">
        <v>1.3</v>
      </c>
      <c r="IN42" s="1"/>
      <c r="IO42" s="1"/>
      <c r="IP42" s="1"/>
      <c r="IQ42" s="1"/>
      <c r="IR42" s="1"/>
      <c r="IS42" s="1"/>
      <c r="IT42" s="1"/>
      <c r="IU42" s="1"/>
    </row>
    <row r="43" spans="9:255" ht="12">
      <c r="I43" t="s">
        <v>91</v>
      </c>
      <c r="K43" s="11"/>
      <c r="AF43" s="1">
        <v>0.081</v>
      </c>
      <c r="AG43" s="1">
        <v>1.15</v>
      </c>
      <c r="AH43" s="1">
        <v>1.15</v>
      </c>
      <c r="AI43" s="1">
        <v>1.15</v>
      </c>
      <c r="AJ43" s="1">
        <v>1.15</v>
      </c>
      <c r="AK43" s="1">
        <v>1.15</v>
      </c>
      <c r="AL43" s="1">
        <v>1.25</v>
      </c>
      <c r="AM43" s="1">
        <v>1.25</v>
      </c>
      <c r="AN43" s="1">
        <v>1.25</v>
      </c>
      <c r="AO43" s="1">
        <v>1.25</v>
      </c>
      <c r="AP43" s="1">
        <v>1.25</v>
      </c>
      <c r="AQ43" s="1">
        <v>1.25</v>
      </c>
      <c r="AR43" s="1">
        <v>1.25</v>
      </c>
      <c r="AS43" s="1">
        <v>1.25</v>
      </c>
      <c r="AT43" s="1">
        <v>1.25</v>
      </c>
      <c r="AU43" s="1">
        <v>1.25</v>
      </c>
      <c r="AV43" s="1">
        <v>1.25</v>
      </c>
      <c r="IN43" s="1"/>
      <c r="IO43" s="1"/>
      <c r="IP43" s="1"/>
      <c r="IQ43" s="1"/>
      <c r="IR43" s="1"/>
      <c r="IS43" s="1"/>
      <c r="IT43" s="1"/>
      <c r="IU43" s="1"/>
    </row>
    <row r="44" spans="9:255" ht="12">
      <c r="I44" t="s">
        <v>20</v>
      </c>
      <c r="K44" s="11">
        <f>Design!L31</f>
        <v>0</v>
      </c>
      <c r="AF44" s="1">
        <v>0.163</v>
      </c>
      <c r="AG44" s="1">
        <v>1.1</v>
      </c>
      <c r="AH44" s="1">
        <v>1.1</v>
      </c>
      <c r="AI44" s="1">
        <v>1.1</v>
      </c>
      <c r="AJ44" s="1">
        <v>1.1</v>
      </c>
      <c r="AK44" s="1">
        <v>1.1</v>
      </c>
      <c r="AL44" s="1">
        <v>1.2</v>
      </c>
      <c r="AM44" s="1">
        <v>1.2</v>
      </c>
      <c r="AN44" s="1">
        <v>1.2</v>
      </c>
      <c r="AO44" s="1">
        <v>1.2</v>
      </c>
      <c r="AP44" s="1">
        <v>1.2</v>
      </c>
      <c r="AQ44" s="1">
        <v>1.2</v>
      </c>
      <c r="AR44" s="1">
        <v>1.2</v>
      </c>
      <c r="AS44" s="1">
        <v>1.2</v>
      </c>
      <c r="AT44" s="1">
        <v>1.2</v>
      </c>
      <c r="AU44" s="1">
        <v>1.2</v>
      </c>
      <c r="AV44" s="1">
        <v>1.2</v>
      </c>
      <c r="IN44" s="1"/>
      <c r="IO44" s="1"/>
      <c r="IP44" s="1"/>
      <c r="IQ44" s="1"/>
      <c r="IR44" s="1"/>
      <c r="IS44" s="1"/>
      <c r="IT44" s="1"/>
      <c r="IU44" s="1"/>
    </row>
    <row r="45" spans="9:255" ht="12">
      <c r="I45" t="s">
        <v>93</v>
      </c>
      <c r="K45" s="11"/>
      <c r="AF45" s="1">
        <v>0.226</v>
      </c>
      <c r="AG45" s="1">
        <v>1.05</v>
      </c>
      <c r="AH45" s="1">
        <v>1.05</v>
      </c>
      <c r="AI45" s="1">
        <v>1.05</v>
      </c>
      <c r="AJ45" s="1">
        <v>1.05</v>
      </c>
      <c r="AK45" s="1">
        <v>1.05</v>
      </c>
      <c r="AL45" s="1">
        <v>1.15</v>
      </c>
      <c r="AM45" s="1">
        <v>1.15</v>
      </c>
      <c r="AN45" s="1">
        <v>1.15</v>
      </c>
      <c r="AO45" s="1">
        <v>1.15</v>
      </c>
      <c r="AP45" s="1">
        <v>1.15</v>
      </c>
      <c r="AQ45" s="1">
        <v>1.15</v>
      </c>
      <c r="AR45" s="1">
        <v>1.15</v>
      </c>
      <c r="AS45" s="1">
        <v>1.15</v>
      </c>
      <c r="AT45" s="1">
        <v>1.15</v>
      </c>
      <c r="AU45" s="1">
        <v>1.15</v>
      </c>
      <c r="AV45" s="1">
        <v>1.15</v>
      </c>
      <c r="IN45" s="1"/>
      <c r="IO45" s="1"/>
      <c r="IP45" s="1"/>
      <c r="IQ45" s="1"/>
      <c r="IR45" s="1"/>
      <c r="IS45" s="1"/>
      <c r="IT45" s="1"/>
      <c r="IU45" s="1"/>
    </row>
    <row r="46" spans="32:255" ht="12"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IN46" s="1"/>
      <c r="IO46" s="1"/>
      <c r="IP46" s="1"/>
      <c r="IQ46" s="1"/>
      <c r="IR46" s="1"/>
      <c r="IS46" s="1"/>
      <c r="IT46" s="1"/>
      <c r="IU46" s="1"/>
    </row>
    <row r="47" spans="34:255" ht="12">
      <c r="IN47" s="1"/>
      <c r="IO47" s="1"/>
      <c r="IP47" s="1"/>
      <c r="IQ47" s="1"/>
      <c r="IR47" s="1"/>
      <c r="IS47" s="1"/>
      <c r="IT47" s="1"/>
      <c r="IU47" s="1"/>
    </row>
    <row r="48" spans="34:255" ht="12">
      <c r="IN48" s="1"/>
      <c r="IO48" s="1"/>
      <c r="IP48" s="1"/>
      <c r="IQ48" s="1"/>
      <c r="IR48" s="1"/>
      <c r="IS48" s="1"/>
      <c r="IT48" s="1"/>
      <c r="IU48" s="1"/>
    </row>
    <row r="49" spans="34:255" ht="12">
      <c r="IN49" s="1"/>
      <c r="IO49" s="1"/>
      <c r="IP49" s="1"/>
      <c r="IQ49" s="1"/>
      <c r="IR49" s="1"/>
      <c r="IS49" s="1"/>
      <c r="IT49" s="1"/>
      <c r="IU49" s="1"/>
    </row>
    <row r="50" spans="34:255" ht="12">
      <c r="IN50" s="1"/>
      <c r="IO50" s="1"/>
      <c r="IP50" s="1"/>
      <c r="IQ50" s="1"/>
      <c r="IR50" s="1"/>
      <c r="IS50" s="1"/>
      <c r="IT50" s="1"/>
      <c r="IU50" s="1"/>
    </row>
    <row r="51" spans="34:255" ht="12">
      <c r="IN51" s="1"/>
      <c r="IO51" s="1"/>
      <c r="IP51" s="1"/>
      <c r="IQ51" s="1"/>
      <c r="IR51" s="1"/>
      <c r="IS51" s="1"/>
      <c r="IT51" s="1"/>
      <c r="IU51" s="1"/>
    </row>
    <row r="52" spans="34:255" ht="12">
      <c r="IN52" s="1"/>
      <c r="IO52" s="1"/>
      <c r="IP52" s="1"/>
      <c r="IQ52" s="1"/>
      <c r="IR52" s="1"/>
      <c r="IS52" s="1"/>
      <c r="IT52" s="1"/>
      <c r="IU52" s="1"/>
    </row>
    <row r="53" spans="34:255" ht="12">
      <c r="IN53" s="1"/>
      <c r="IO53" s="1"/>
      <c r="IP53" s="1"/>
      <c r="IQ53" s="1"/>
      <c r="IR53" s="1"/>
      <c r="IS53" s="1"/>
      <c r="IT53" s="1"/>
      <c r="IU53" s="1"/>
    </row>
    <row r="54" spans="34:255" ht="12">
      <c r="IN54" s="1"/>
      <c r="IO54" s="1"/>
      <c r="IP54" s="1"/>
      <c r="IQ54" s="1"/>
      <c r="IR54" s="1"/>
      <c r="IS54" s="1"/>
      <c r="IT54" s="1"/>
      <c r="IU54" s="1"/>
    </row>
    <row r="55" spans="34:255" ht="12">
      <c r="IN55" s="1"/>
      <c r="IO55" s="1"/>
      <c r="IP55" s="1"/>
      <c r="IQ55" s="1"/>
      <c r="IR55" s="1"/>
      <c r="IS55" s="1"/>
      <c r="IT55" s="1"/>
      <c r="IU55" s="1"/>
    </row>
    <row r="56" spans="34:255" ht="12">
      <c r="IN56" s="1"/>
      <c r="IO56" s="1"/>
      <c r="IP56" s="1"/>
      <c r="IQ56" s="1"/>
      <c r="IR56" s="1"/>
      <c r="IS56" s="1"/>
      <c r="IT56" s="1"/>
      <c r="IU56" s="1"/>
    </row>
    <row r="57" spans="34:255" ht="12">
      <c r="IN57" s="1"/>
      <c r="IO57" s="1"/>
      <c r="IP57" s="1"/>
      <c r="IQ57" s="1"/>
      <c r="IR57" s="1"/>
      <c r="IS57" s="1"/>
      <c r="IT57" s="1"/>
      <c r="IU57" s="1"/>
    </row>
    <row r="58" spans="34:255" ht="12">
      <c r="IN58" s="1"/>
      <c r="IO58" s="1"/>
      <c r="IP58" s="1"/>
      <c r="IQ58" s="1"/>
      <c r="IR58" s="1"/>
      <c r="IS58" s="1"/>
      <c r="IT58" s="1"/>
      <c r="IU58" s="1"/>
    </row>
    <row r="59" spans="34:255" ht="12">
      <c r="IN59" s="1"/>
      <c r="IO59" s="1"/>
      <c r="IP59" s="1"/>
      <c r="IQ59" s="1"/>
      <c r="IR59" s="1"/>
      <c r="IS59" s="1"/>
      <c r="IT59" s="1"/>
      <c r="IU59" s="1"/>
    </row>
    <row r="60" spans="34:255" ht="12">
      <c r="IN60" s="1"/>
      <c r="IO60" s="1"/>
      <c r="IP60" s="1"/>
      <c r="IQ60" s="1"/>
      <c r="IR60" s="1"/>
      <c r="IS60" s="1"/>
      <c r="IT60" s="1"/>
      <c r="IU60" s="1"/>
    </row>
    <row r="61" spans="34:255" ht="12">
      <c r="IN61" s="1"/>
      <c r="IO61" s="1"/>
      <c r="IP61" s="1"/>
      <c r="IQ61" s="1"/>
      <c r="IR61" s="1"/>
      <c r="IS61" s="1"/>
      <c r="IT61" s="1"/>
      <c r="IU61" s="1"/>
    </row>
    <row r="62" spans="34:255" ht="12">
      <c r="IN62" s="1"/>
      <c r="IO62" s="1"/>
      <c r="IP62" s="1"/>
      <c r="IQ62" s="1"/>
      <c r="IR62" s="1"/>
      <c r="IS62" s="1"/>
      <c r="IT62" s="1"/>
      <c r="IU62" s="1"/>
    </row>
    <row r="63" spans="34:255" ht="12">
      <c r="IN63" s="1"/>
      <c r="IO63" s="1"/>
      <c r="IP63" s="1"/>
      <c r="IQ63" s="1"/>
      <c r="IR63" s="1"/>
      <c r="IS63" s="1"/>
      <c r="IT63" s="1"/>
      <c r="IU63" s="1"/>
    </row>
    <row r="64" spans="34:255" ht="12">
      <c r="IN64" s="1"/>
      <c r="IO64" s="1"/>
      <c r="IP64" s="1"/>
      <c r="IQ64" s="1"/>
      <c r="IR64" s="1"/>
      <c r="IS64" s="1"/>
      <c r="IT64" s="1"/>
      <c r="IU64" s="1"/>
    </row>
    <row r="65" spans="34:255" ht="12">
      <c r="IN65" s="1"/>
      <c r="IO65" s="1"/>
      <c r="IP65" s="1"/>
      <c r="IQ65" s="1"/>
      <c r="IR65" s="1"/>
      <c r="IS65" s="1"/>
      <c r="IT65" s="1"/>
      <c r="IU65" s="1"/>
    </row>
    <row r="66" spans="34:255" ht="12">
      <c r="IN66" s="1"/>
      <c r="IO66" s="1"/>
      <c r="IP66" s="1"/>
      <c r="IQ66" s="1"/>
      <c r="IR66" s="1"/>
      <c r="IS66" s="1"/>
      <c r="IT66" s="1"/>
      <c r="IU66" s="1"/>
    </row>
    <row r="67" spans="34:255" ht="12">
      <c r="IN67" s="1"/>
      <c r="IO67" s="1"/>
      <c r="IP67" s="1"/>
      <c r="IQ67" s="1"/>
      <c r="IR67" s="1"/>
      <c r="IS67" s="1"/>
      <c r="IT67" s="1"/>
      <c r="IU67" s="1"/>
    </row>
    <row r="68" spans="34:255" ht="12">
      <c r="IN68" s="1"/>
      <c r="IO68" s="1"/>
      <c r="IP68" s="1"/>
      <c r="IQ68" s="1"/>
      <c r="IR68" s="1"/>
      <c r="IS68" s="1"/>
      <c r="IT68" s="1"/>
      <c r="IU68" s="1"/>
    </row>
    <row r="69" spans="1:255" ht="12">
      <c r="A69" t="s">
        <v>117</v>
      </c>
      <c r="H69" t="s">
        <v>117</v>
      </c>
      <c r="IN69" s="1"/>
      <c r="IO69" s="1"/>
      <c r="IP69" s="1"/>
      <c r="IQ69" s="1"/>
      <c r="IR69" s="1"/>
      <c r="IS69" s="1"/>
      <c r="IT69" s="1"/>
      <c r="IU69" s="1"/>
    </row>
    <row r="70" spans="34:255" ht="12">
      <c r="IN70" s="1"/>
      <c r="IO70" s="1"/>
      <c r="IP70" s="1"/>
      <c r="IQ70" s="1"/>
      <c r="IR70" s="1"/>
      <c r="IS70" s="1"/>
      <c r="IT70" s="1"/>
      <c r="IU70" s="1"/>
    </row>
    <row r="96" ht="12">
      <c r="H96" s="1"/>
    </row>
    <row r="99" spans="17:20" ht="12">
      <c r="Q99" t="s">
        <v>21</v>
      </c>
      <c r="T99" t="s">
        <v>22</v>
      </c>
    </row>
    <row r="100" spans="17:34" ht="12">
      <c r="Q100">
        <v>0</v>
      </c>
      <c r="R100">
        <v>1</v>
      </c>
      <c r="S100">
        <v>9</v>
      </c>
      <c r="T100">
        <v>12</v>
      </c>
      <c r="U100">
        <v>24</v>
      </c>
      <c r="V100">
        <v>36</v>
      </c>
      <c r="W100">
        <v>48</v>
      </c>
      <c r="X100">
        <v>60</v>
      </c>
      <c r="Y100">
        <v>72</v>
      </c>
      <c r="Z100">
        <v>96</v>
      </c>
      <c r="AA100">
        <v>120</v>
      </c>
      <c r="AB100">
        <v>144</v>
      </c>
      <c r="AC100">
        <v>168</v>
      </c>
      <c r="AD100">
        <v>192</v>
      </c>
      <c r="AE100">
        <v>216</v>
      </c>
      <c r="AF100">
        <v>240</v>
      </c>
      <c r="AG100">
        <v>264</v>
      </c>
      <c r="AH100">
        <v>288</v>
      </c>
    </row>
    <row r="101" spans="17:34" ht="12">
      <c r="Q101">
        <v>0.001</v>
      </c>
      <c r="R101">
        <v>1</v>
      </c>
      <c r="S101">
        <v>2</v>
      </c>
      <c r="T101">
        <v>3</v>
      </c>
      <c r="U101">
        <v>4</v>
      </c>
      <c r="V101">
        <v>5</v>
      </c>
      <c r="W101">
        <v>6</v>
      </c>
      <c r="X101">
        <v>7</v>
      </c>
      <c r="Y101">
        <v>8</v>
      </c>
      <c r="Z101">
        <v>9</v>
      </c>
      <c r="AA101">
        <v>10</v>
      </c>
      <c r="AB101">
        <v>11</v>
      </c>
      <c r="AC101">
        <v>12</v>
      </c>
      <c r="AD101">
        <v>13</v>
      </c>
      <c r="AE101">
        <v>14</v>
      </c>
      <c r="AF101">
        <v>15</v>
      </c>
      <c r="AG101">
        <v>16</v>
      </c>
      <c r="AH101">
        <v>17</v>
      </c>
    </row>
    <row r="102" spans="17:26" ht="12">
      <c r="Q102">
        <v>0.002</v>
      </c>
      <c r="R102">
        <v>4000</v>
      </c>
      <c r="S102">
        <v>4000</v>
      </c>
      <c r="T102">
        <v>3500</v>
      </c>
      <c r="U102">
        <v>3250</v>
      </c>
      <c r="V102">
        <v>3000</v>
      </c>
      <c r="W102">
        <v>2850</v>
      </c>
      <c r="X102">
        <v>2600</v>
      </c>
      <c r="Y102">
        <v>2400</v>
      </c>
      <c r="Z102">
        <v>2000</v>
      </c>
    </row>
    <row r="103" spans="17:27" ht="12">
      <c r="Q103">
        <v>0.029</v>
      </c>
      <c r="R103">
        <v>4000</v>
      </c>
      <c r="S103">
        <v>4000</v>
      </c>
      <c r="T103">
        <v>3500</v>
      </c>
      <c r="U103">
        <v>3000</v>
      </c>
      <c r="V103">
        <v>2800</v>
      </c>
      <c r="W103">
        <v>2000</v>
      </c>
      <c r="X103">
        <v>1850</v>
      </c>
      <c r="Y103">
        <v>1500</v>
      </c>
      <c r="Z103">
        <v>1200</v>
      </c>
      <c r="AA103">
        <v>900</v>
      </c>
    </row>
    <row r="104" spans="17:27" ht="12">
      <c r="Q104">
        <v>0.063</v>
      </c>
      <c r="R104">
        <v>3500</v>
      </c>
      <c r="S104">
        <v>3500</v>
      </c>
      <c r="T104">
        <v>3250</v>
      </c>
      <c r="U104">
        <v>2900</v>
      </c>
      <c r="V104">
        <v>2750</v>
      </c>
      <c r="W104">
        <v>1950</v>
      </c>
      <c r="X104">
        <v>1800</v>
      </c>
      <c r="Y104">
        <v>1250</v>
      </c>
      <c r="Z104">
        <v>850</v>
      </c>
      <c r="AA104">
        <v>500</v>
      </c>
    </row>
    <row r="105" spans="17:29" ht="12">
      <c r="Q105">
        <v>0.106</v>
      </c>
      <c r="R105">
        <v>3250</v>
      </c>
      <c r="S105">
        <v>3250</v>
      </c>
      <c r="T105">
        <v>3000</v>
      </c>
      <c r="U105">
        <v>2600</v>
      </c>
      <c r="V105">
        <v>2350</v>
      </c>
      <c r="W105">
        <v>2000</v>
      </c>
      <c r="X105">
        <v>1500</v>
      </c>
      <c r="Y105">
        <v>1150</v>
      </c>
      <c r="Z105">
        <v>750</v>
      </c>
      <c r="AA105">
        <v>490</v>
      </c>
      <c r="AB105">
        <v>400</v>
      </c>
      <c r="AC105">
        <v>300</v>
      </c>
    </row>
    <row r="106" spans="17:29" ht="12">
      <c r="Q106">
        <v>0.14300000000000002</v>
      </c>
      <c r="R106">
        <v>2000</v>
      </c>
      <c r="S106">
        <v>2000</v>
      </c>
      <c r="T106">
        <v>1800</v>
      </c>
      <c r="U106">
        <v>1000</v>
      </c>
      <c r="V106">
        <v>900</v>
      </c>
      <c r="W106">
        <v>850</v>
      </c>
      <c r="X106">
        <v>800</v>
      </c>
      <c r="Y106">
        <v>750</v>
      </c>
      <c r="Z106">
        <v>650</v>
      </c>
      <c r="AA106">
        <v>550</v>
      </c>
      <c r="AB106">
        <v>500</v>
      </c>
      <c r="AC106">
        <v>380</v>
      </c>
    </row>
    <row r="107" spans="17:30" ht="12">
      <c r="Q107">
        <v>0.20800000000000002</v>
      </c>
      <c r="R107">
        <v>750</v>
      </c>
      <c r="S107">
        <v>750</v>
      </c>
      <c r="T107">
        <v>700</v>
      </c>
      <c r="U107">
        <v>650</v>
      </c>
      <c r="V107">
        <v>600</v>
      </c>
      <c r="W107">
        <v>575</v>
      </c>
      <c r="X107">
        <v>500</v>
      </c>
      <c r="Y107">
        <v>450</v>
      </c>
      <c r="Z107">
        <v>400</v>
      </c>
      <c r="AA107">
        <v>375</v>
      </c>
      <c r="AB107">
        <v>350</v>
      </c>
      <c r="AC107">
        <v>300</v>
      </c>
      <c r="AD107">
        <v>250</v>
      </c>
    </row>
    <row r="108" spans="17:34" ht="12">
      <c r="Q108">
        <v>0.376</v>
      </c>
      <c r="R108">
        <v>650</v>
      </c>
      <c r="S108">
        <v>650</v>
      </c>
      <c r="T108">
        <v>625</v>
      </c>
      <c r="U108">
        <v>575</v>
      </c>
      <c r="V108">
        <v>500</v>
      </c>
      <c r="W108">
        <v>475</v>
      </c>
      <c r="X108">
        <v>450</v>
      </c>
      <c r="Y108">
        <v>425</v>
      </c>
      <c r="Z108">
        <v>375</v>
      </c>
      <c r="AA108">
        <v>360</v>
      </c>
      <c r="AB108">
        <v>275</v>
      </c>
      <c r="AC108">
        <v>250</v>
      </c>
      <c r="AD108">
        <v>200</v>
      </c>
      <c r="AE108">
        <v>100</v>
      </c>
      <c r="AF108">
        <v>0</v>
      </c>
      <c r="AG108">
        <v>130</v>
      </c>
      <c r="AH108">
        <v>125</v>
      </c>
    </row>
    <row r="109" spans="17:34" ht="12">
      <c r="Q109">
        <v>0.501</v>
      </c>
      <c r="R109">
        <v>550</v>
      </c>
      <c r="S109">
        <v>550</v>
      </c>
      <c r="T109">
        <v>525</v>
      </c>
      <c r="U109">
        <v>300</v>
      </c>
      <c r="V109">
        <v>250</v>
      </c>
      <c r="W109">
        <v>225</v>
      </c>
      <c r="X109">
        <v>200</v>
      </c>
      <c r="Y109">
        <v>185</v>
      </c>
      <c r="Z109">
        <v>180</v>
      </c>
      <c r="AA109">
        <v>175</v>
      </c>
      <c r="AB109">
        <v>160</v>
      </c>
      <c r="AC109">
        <v>150</v>
      </c>
      <c r="AD109">
        <v>200</v>
      </c>
      <c r="AE109">
        <v>100</v>
      </c>
      <c r="AF109">
        <v>0</v>
      </c>
      <c r="AG109">
        <v>100</v>
      </c>
      <c r="AH109">
        <v>80</v>
      </c>
    </row>
    <row r="110" spans="17:31" ht="12">
      <c r="Q110">
        <v>0.626</v>
      </c>
      <c r="X110" t="s">
        <v>117</v>
      </c>
      <c r="Y110" t="s">
        <v>117</v>
      </c>
      <c r="Z110" t="s">
        <v>117</v>
      </c>
      <c r="AA110" t="s">
        <v>117</v>
      </c>
      <c r="AB110" t="s">
        <v>117</v>
      </c>
      <c r="AC110" t="s">
        <v>117</v>
      </c>
      <c r="AD110">
        <v>100</v>
      </c>
      <c r="AE110">
        <v>50</v>
      </c>
    </row>
    <row r="111" spans="17:31" ht="12">
      <c r="Q111">
        <v>0.751</v>
      </c>
      <c r="X111" t="s">
        <v>117</v>
      </c>
      <c r="Y111" t="s">
        <v>117</v>
      </c>
      <c r="Z111" t="s">
        <v>117</v>
      </c>
      <c r="AA111" t="s">
        <v>117</v>
      </c>
      <c r="AB111" t="s">
        <v>117</v>
      </c>
      <c r="AC111" t="s">
        <v>117</v>
      </c>
      <c r="AD111">
        <v>100</v>
      </c>
      <c r="AE111">
        <v>50</v>
      </c>
    </row>
    <row r="112" spans="17:31" ht="12">
      <c r="Q112">
        <v>0.751</v>
      </c>
      <c r="X112" t="s">
        <v>117</v>
      </c>
      <c r="Y112" t="s">
        <v>117</v>
      </c>
      <c r="Z112" t="s">
        <v>117</v>
      </c>
      <c r="AA112" t="s">
        <v>117</v>
      </c>
      <c r="AB112" t="s">
        <v>117</v>
      </c>
      <c r="AC112" t="s">
        <v>117</v>
      </c>
      <c r="AD112">
        <v>100</v>
      </c>
      <c r="AE112">
        <v>50</v>
      </c>
    </row>
    <row r="113" ht="12">
      <c r="Q113">
        <v>0.751</v>
      </c>
    </row>
    <row r="138" spans="17:21" ht="12">
      <c r="Q138" t="s">
        <v>23</v>
      </c>
      <c r="U138" t="s">
        <v>24</v>
      </c>
    </row>
    <row r="139" spans="17:32" ht="12">
      <c r="Q139" s="37">
        <v>0</v>
      </c>
      <c r="R139" s="37">
        <v>0.001</v>
      </c>
      <c r="S139" s="37">
        <v>0.08</v>
      </c>
      <c r="T139" s="37">
        <v>0.15</v>
      </c>
      <c r="U139" s="37">
        <v>0.3</v>
      </c>
      <c r="V139" s="37">
        <v>0.6</v>
      </c>
      <c r="W139" s="37">
        <v>0.75</v>
      </c>
      <c r="X139" s="37">
        <v>1</v>
      </c>
      <c r="Y139" s="37">
        <v>1.5</v>
      </c>
      <c r="Z139" s="37">
        <v>2</v>
      </c>
      <c r="AA139" s="37">
        <v>2.5</v>
      </c>
      <c r="AB139" s="37">
        <v>3.5</v>
      </c>
      <c r="AC139" s="37">
        <v>4.5</v>
      </c>
      <c r="AD139" s="37">
        <v>5.5</v>
      </c>
      <c r="AE139" s="37">
        <v>8</v>
      </c>
      <c r="AF139" s="37">
        <v>20</v>
      </c>
    </row>
    <row r="140" spans="17:32" ht="12">
      <c r="Q140" s="37">
        <v>0.001</v>
      </c>
      <c r="R140">
        <v>1</v>
      </c>
      <c r="S140">
        <v>2</v>
      </c>
      <c r="T140">
        <v>3</v>
      </c>
      <c r="U140">
        <v>4</v>
      </c>
      <c r="V140">
        <v>5</v>
      </c>
      <c r="W140">
        <v>6</v>
      </c>
      <c r="X140">
        <v>7</v>
      </c>
      <c r="Y140">
        <v>8</v>
      </c>
      <c r="Z140">
        <v>9</v>
      </c>
      <c r="AA140">
        <v>10</v>
      </c>
      <c r="AB140">
        <v>11</v>
      </c>
      <c r="AC140">
        <v>12</v>
      </c>
      <c r="AD140">
        <v>13</v>
      </c>
      <c r="AE140">
        <v>14</v>
      </c>
      <c r="AF140">
        <v>15</v>
      </c>
    </row>
    <row r="141" spans="17:23" ht="12">
      <c r="Q141" s="37">
        <v>0.002</v>
      </c>
      <c r="T141">
        <v>760</v>
      </c>
      <c r="U141">
        <v>800</v>
      </c>
      <c r="V141">
        <v>500</v>
      </c>
      <c r="W141">
        <v>350</v>
      </c>
    </row>
    <row r="142" spans="17:23" ht="12">
      <c r="Q142" s="37">
        <v>0.031</v>
      </c>
      <c r="T142">
        <v>2500</v>
      </c>
      <c r="U142">
        <v>2000</v>
      </c>
      <c r="V142">
        <v>1500</v>
      </c>
      <c r="W142">
        <v>1100</v>
      </c>
    </row>
    <row r="143" spans="17:24" ht="12">
      <c r="Q143" s="37">
        <v>0.063</v>
      </c>
      <c r="T143">
        <v>1700</v>
      </c>
      <c r="U143">
        <v>1500</v>
      </c>
      <c r="V143">
        <v>1200</v>
      </c>
      <c r="W143">
        <v>1000</v>
      </c>
      <c r="X143">
        <v>800</v>
      </c>
    </row>
    <row r="144" spans="17:24" ht="12">
      <c r="Q144" s="37">
        <v>0.093</v>
      </c>
      <c r="U144">
        <v>1200</v>
      </c>
      <c r="V144">
        <v>900</v>
      </c>
      <c r="W144">
        <v>700</v>
      </c>
      <c r="X144">
        <v>450</v>
      </c>
    </row>
    <row r="145" spans="17:24" ht="12">
      <c r="Q145" s="37">
        <v>0.126</v>
      </c>
      <c r="U145">
        <v>800</v>
      </c>
      <c r="V145">
        <v>600</v>
      </c>
      <c r="W145">
        <v>375</v>
      </c>
      <c r="X145">
        <v>300</v>
      </c>
    </row>
    <row r="146" spans="17:26" ht="12">
      <c r="Q146" s="37">
        <v>0.156</v>
      </c>
      <c r="U146">
        <v>750</v>
      </c>
      <c r="V146">
        <v>575</v>
      </c>
      <c r="W146">
        <v>350</v>
      </c>
      <c r="X146">
        <v>285</v>
      </c>
      <c r="Y146">
        <v>235</v>
      </c>
      <c r="Z146">
        <v>185</v>
      </c>
    </row>
    <row r="147" spans="17:26" ht="12">
      <c r="Q147" s="37">
        <v>0.17200000000000001</v>
      </c>
      <c r="V147">
        <v>500</v>
      </c>
      <c r="W147">
        <v>300</v>
      </c>
      <c r="X147">
        <v>250</v>
      </c>
      <c r="Y147">
        <v>150</v>
      </c>
      <c r="Z147">
        <v>120</v>
      </c>
    </row>
    <row r="148" spans="17:26" ht="12">
      <c r="Q148" s="37">
        <v>0.192</v>
      </c>
      <c r="V148">
        <v>450</v>
      </c>
      <c r="W148">
        <v>250</v>
      </c>
      <c r="X148">
        <v>225</v>
      </c>
      <c r="Y148">
        <v>100</v>
      </c>
      <c r="Z148">
        <v>80</v>
      </c>
    </row>
    <row r="149" spans="17:29" ht="12">
      <c r="Q149" s="37">
        <v>0.20700000000000002</v>
      </c>
      <c r="V149">
        <v>350</v>
      </c>
      <c r="W149">
        <v>145</v>
      </c>
      <c r="X149">
        <v>175</v>
      </c>
      <c r="Y149">
        <v>75</v>
      </c>
      <c r="Z149">
        <v>60</v>
      </c>
      <c r="AA149">
        <v>55</v>
      </c>
      <c r="AB149" t="s">
        <v>117</v>
      </c>
      <c r="AC149">
        <v>0</v>
      </c>
    </row>
    <row r="150" spans="17:29" ht="12">
      <c r="Q150" s="37">
        <v>0.281</v>
      </c>
      <c r="W150">
        <v>135</v>
      </c>
      <c r="X150">
        <v>100</v>
      </c>
      <c r="Y150">
        <v>75</v>
      </c>
      <c r="Z150">
        <v>60</v>
      </c>
      <c r="AA150">
        <v>50</v>
      </c>
      <c r="AB150">
        <v>0</v>
      </c>
      <c r="AC150">
        <v>0</v>
      </c>
    </row>
    <row r="151" spans="17:29" ht="12">
      <c r="Q151" s="37">
        <v>0.306</v>
      </c>
      <c r="W151">
        <v>0</v>
      </c>
      <c r="X151">
        <v>75</v>
      </c>
      <c r="Y151">
        <v>55</v>
      </c>
      <c r="Z151">
        <v>50</v>
      </c>
      <c r="AA151">
        <v>40</v>
      </c>
      <c r="AB151">
        <v>25</v>
      </c>
      <c r="AC151">
        <v>0</v>
      </c>
    </row>
    <row r="152" spans="17:30" ht="12">
      <c r="Q152" s="37">
        <v>0.343</v>
      </c>
      <c r="X152">
        <v>68</v>
      </c>
      <c r="Y152">
        <v>50</v>
      </c>
      <c r="Z152">
        <v>45</v>
      </c>
      <c r="AA152">
        <v>30</v>
      </c>
      <c r="AB152">
        <v>20</v>
      </c>
      <c r="AC152">
        <v>10</v>
      </c>
      <c r="AD152">
        <v>0</v>
      </c>
    </row>
    <row r="153" spans="17:30" ht="12">
      <c r="Q153" s="37">
        <v>0.406</v>
      </c>
      <c r="X153">
        <v>65</v>
      </c>
      <c r="Y153">
        <v>35</v>
      </c>
      <c r="Z153">
        <v>32</v>
      </c>
      <c r="AA153">
        <v>30</v>
      </c>
      <c r="AB153">
        <v>20</v>
      </c>
      <c r="AC153">
        <v>10</v>
      </c>
      <c r="AD153">
        <v>0</v>
      </c>
    </row>
    <row r="154" spans="17:30" ht="12">
      <c r="Q154" s="37">
        <v>0.468</v>
      </c>
      <c r="X154">
        <v>55</v>
      </c>
      <c r="Y154">
        <v>33</v>
      </c>
      <c r="Z154">
        <v>30</v>
      </c>
      <c r="AA154">
        <v>28</v>
      </c>
      <c r="AB154">
        <v>18</v>
      </c>
      <c r="AC154">
        <v>10</v>
      </c>
      <c r="AD154">
        <v>0</v>
      </c>
    </row>
    <row r="155" spans="17:30" ht="12">
      <c r="Q155" s="37">
        <v>0.5</v>
      </c>
      <c r="Y155">
        <v>33</v>
      </c>
      <c r="Z155">
        <v>30</v>
      </c>
      <c r="AA155">
        <v>25</v>
      </c>
      <c r="AB155">
        <v>16</v>
      </c>
      <c r="AC155">
        <v>10</v>
      </c>
      <c r="AD155">
        <v>0</v>
      </c>
    </row>
    <row r="156" spans="17:30" ht="12">
      <c r="Q156" s="37">
        <v>0.531</v>
      </c>
      <c r="Y156">
        <v>28</v>
      </c>
      <c r="Z156">
        <v>25</v>
      </c>
      <c r="AA156">
        <v>22</v>
      </c>
      <c r="AB156">
        <v>15</v>
      </c>
      <c r="AC156">
        <v>9</v>
      </c>
      <c r="AD156">
        <v>0</v>
      </c>
    </row>
    <row r="157" spans="17:30" ht="12">
      <c r="Q157" s="37">
        <v>0.562</v>
      </c>
      <c r="Y157">
        <v>23</v>
      </c>
      <c r="Z157">
        <v>20</v>
      </c>
      <c r="AA157">
        <v>15</v>
      </c>
      <c r="AB157">
        <v>13</v>
      </c>
      <c r="AC157">
        <v>9</v>
      </c>
      <c r="AD157">
        <v>0</v>
      </c>
    </row>
    <row r="158" spans="17:30" ht="12">
      <c r="Q158" s="37">
        <v>0.625</v>
      </c>
      <c r="Y158">
        <v>22</v>
      </c>
      <c r="Z158">
        <v>15</v>
      </c>
      <c r="AA158">
        <v>13</v>
      </c>
      <c r="AB158">
        <v>9</v>
      </c>
      <c r="AC158">
        <v>8</v>
      </c>
      <c r="AD158">
        <v>0</v>
      </c>
    </row>
    <row r="159" spans="4:28" ht="12">
      <c r="D159" s="1"/>
      <c r="Q159" s="37">
        <v>0.751</v>
      </c>
      <c r="AB159">
        <v>0</v>
      </c>
    </row>
    <row r="160" ht="12">
      <c r="D160" s="1"/>
    </row>
    <row r="161" ht="12">
      <c r="D161" s="1"/>
    </row>
    <row r="162" ht="12">
      <c r="D162" s="1"/>
    </row>
    <row r="163" ht="12">
      <c r="D163" s="1"/>
    </row>
    <row r="164" ht="12">
      <c r="D164" s="1"/>
    </row>
    <row r="165" ht="12">
      <c r="D165" s="1"/>
    </row>
  </sheetData>
  <sheetProtection/>
  <mergeCells count="1">
    <mergeCell ref="R1:X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151"/>
  <sheetViews>
    <sheetView showGridLines="0" showRowColHeaders="0" tabSelected="1" zoomScalePageLayoutView="0" workbookViewId="0" topLeftCell="A1">
      <selection activeCell="B12" sqref="B12"/>
    </sheetView>
  </sheetViews>
  <sheetFormatPr defaultColWidth="9.00390625" defaultRowHeight="12.75"/>
  <cols>
    <col min="1" max="1" width="2.25390625" style="39" customWidth="1"/>
    <col min="2" max="2" width="23.50390625" style="39" customWidth="1"/>
    <col min="3" max="3" width="22.25390625" style="39" bestFit="1" customWidth="1"/>
    <col min="4" max="4" width="28.25390625" style="39" customWidth="1"/>
    <col min="5" max="5" width="17.375" style="39" customWidth="1"/>
    <col min="6" max="6" width="12.125" style="39" customWidth="1"/>
    <col min="7" max="7" width="2.00390625" style="39" customWidth="1"/>
    <col min="8" max="8" width="3.25390625" style="39" customWidth="1"/>
    <col min="9" max="10" width="9.00390625" style="39" customWidth="1"/>
    <col min="11" max="11" width="18.125" style="39" bestFit="1" customWidth="1"/>
    <col min="12" max="12" width="29.50390625" style="39" bestFit="1" customWidth="1"/>
    <col min="13" max="13" width="16.00390625" style="39" bestFit="1" customWidth="1"/>
    <col min="14" max="14" width="20.125" style="39" customWidth="1"/>
    <col min="15" max="15" width="10.375" style="39" bestFit="1" customWidth="1"/>
    <col min="16" max="16" width="9.00390625" style="39" customWidth="1"/>
    <col min="17" max="21" width="14.625" style="39" customWidth="1"/>
    <col min="22" max="30" width="9.00390625" style="39" customWidth="1"/>
    <col min="31" max="31" width="31.625" style="39" bestFit="1" customWidth="1"/>
    <col min="32" max="32" width="7.625" style="39" bestFit="1" customWidth="1"/>
    <col min="33" max="33" width="12.625" style="39" bestFit="1" customWidth="1"/>
    <col min="34" max="34" width="26.125" style="39" bestFit="1" customWidth="1"/>
    <col min="35" max="35" width="13.50390625" style="39" bestFit="1" customWidth="1"/>
    <col min="36" max="16384" width="9.00390625" style="39" customWidth="1"/>
  </cols>
  <sheetData>
    <row r="1" spans="1:21" ht="13.5" thickBot="1">
      <c r="A1" s="53"/>
      <c r="B1" s="53"/>
      <c r="C1" s="53"/>
      <c r="D1" s="53"/>
      <c r="E1" s="53"/>
      <c r="F1" s="53"/>
      <c r="G1" s="53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8" customHeight="1" thickTop="1">
      <c r="A2" s="53"/>
      <c r="B2" s="107" t="s">
        <v>122</v>
      </c>
      <c r="C2" s="108"/>
      <c r="D2" s="108"/>
      <c r="E2" s="108"/>
      <c r="F2" s="109"/>
      <c r="G2" s="55"/>
      <c r="H2" s="53"/>
      <c r="I2" s="54"/>
      <c r="J2" s="54"/>
      <c r="K2" s="56" t="s">
        <v>4</v>
      </c>
      <c r="L2" s="57">
        <f>IF($C$3="Compression",1,IF($C$3="Extension",2,IF($C$3="TORSION/WIRE FORM",3,"")))</f>
        <v>1</v>
      </c>
      <c r="M2" s="56"/>
      <c r="N2" s="56"/>
      <c r="O2" s="54"/>
      <c r="P2" s="54"/>
      <c r="Q2" s="107" t="s">
        <v>122</v>
      </c>
      <c r="R2" s="108"/>
      <c r="S2" s="108"/>
      <c r="T2" s="108"/>
      <c r="U2" s="109"/>
    </row>
    <row r="3" spans="1:21" ht="14.25" customHeight="1">
      <c r="A3" s="53"/>
      <c r="B3" s="58" t="s">
        <v>120</v>
      </c>
      <c r="C3" s="77" t="s">
        <v>6</v>
      </c>
      <c r="D3" s="59" t="s">
        <v>19</v>
      </c>
      <c r="E3" s="114">
        <f ca="1">NOW()</f>
        <v>40302.6150712963</v>
      </c>
      <c r="F3" s="115" t="s">
        <v>185</v>
      </c>
      <c r="G3" s="55"/>
      <c r="H3" s="53"/>
      <c r="I3" s="54"/>
      <c r="J3" s="54"/>
      <c r="K3" s="56" t="s">
        <v>6</v>
      </c>
      <c r="L3" s="56" t="s">
        <v>102</v>
      </c>
      <c r="M3" s="56"/>
      <c r="N3" s="56"/>
      <c r="O3" s="54"/>
      <c r="P3" s="54"/>
      <c r="Q3" s="58" t="s">
        <v>120</v>
      </c>
      <c r="R3" s="77" t="s">
        <v>6</v>
      </c>
      <c r="S3" s="59" t="s">
        <v>19</v>
      </c>
      <c r="T3" s="114">
        <f ca="1">NOW()</f>
        <v>40302.6150712963</v>
      </c>
      <c r="U3" s="115" t="s">
        <v>185</v>
      </c>
    </row>
    <row r="4" spans="1:21" ht="14.25" customHeight="1">
      <c r="A4" s="53"/>
      <c r="B4" s="60" t="s">
        <v>121</v>
      </c>
      <c r="C4" s="78"/>
      <c r="D4" s="116">
        <f>IF($E$11=0,"",IF($E$11&lt;4,"Tight Index",IF($E$11&gt;14,"Large Index","")))</f>
      </c>
      <c r="E4" s="117">
        <f>IF($E$11=0,"",IF($E$11&lt;4,"Tight Index",IF($E$11&gt;14,"Large Index","")))</f>
      </c>
      <c r="F4" s="118">
        <f>IF($E$11=0,"",IF($E$11&lt;4,"Tight Index",IF($E$11&gt;14,"Large Index","")))</f>
      </c>
      <c r="G4" s="53"/>
      <c r="H4" s="53"/>
      <c r="I4" s="54"/>
      <c r="J4" s="54"/>
      <c r="K4" s="56" t="s">
        <v>7</v>
      </c>
      <c r="L4" s="56" t="s">
        <v>103</v>
      </c>
      <c r="M4" s="56"/>
      <c r="N4" s="56"/>
      <c r="O4" s="54"/>
      <c r="P4" s="54"/>
      <c r="Q4" s="60" t="s">
        <v>121</v>
      </c>
      <c r="R4" s="78"/>
      <c r="S4" s="116">
        <f>IF($E$11=0,"",IF($E$11&lt;4,"Tight Index",IF($E$11&gt;14,"Large Index","")))</f>
      </c>
      <c r="T4" s="117">
        <f>IF($E$11=0,"",IF($E$11&lt;4,"Tight Index",IF($E$11&gt;14,"Large Index","")))</f>
      </c>
      <c r="U4" s="118">
        <f>IF($E$11=0,"",IF($E$11&lt;4,"Tight Index",IF($E$11&gt;14,"Large Index","")))</f>
      </c>
    </row>
    <row r="5" spans="1:21" ht="14.25" customHeight="1">
      <c r="A5" s="53"/>
      <c r="B5" s="60" t="s">
        <v>2</v>
      </c>
      <c r="C5" s="78"/>
      <c r="D5" s="101">
        <f>IF(C24=0,"",IF($L$2=1,IF($E$20&gt;$C$24,"OVERSTRESSED AT SOLID",""),""))</f>
      </c>
      <c r="E5" s="102">
        <f>IF($L$2=1,IF($E$20&gt;$C$24,"OVERSTRESSED AT SOLID",""),"")</f>
      </c>
      <c r="F5" s="103">
        <f>IF($L$2=1,IF($E$20&gt;$C$24,"OVERSTRESSED AT SOLID",""),"")</f>
      </c>
      <c r="G5" s="53"/>
      <c r="H5" s="53"/>
      <c r="I5" s="54"/>
      <c r="J5" s="54"/>
      <c r="K5" s="56" t="s">
        <v>60</v>
      </c>
      <c r="L5" s="56" t="s">
        <v>5</v>
      </c>
      <c r="M5" s="56"/>
      <c r="N5" s="56"/>
      <c r="O5" s="54"/>
      <c r="P5" s="54"/>
      <c r="Q5" s="60" t="s">
        <v>2</v>
      </c>
      <c r="R5" s="78"/>
      <c r="S5" s="101">
        <f>IF(R24=0,"",IF($L$2=1,IF($E$20&gt;$C$24,"OVERSTRESSED AT SOLID",""),""))</f>
      </c>
      <c r="T5" s="102">
        <f>IF($L$2=1,IF($E$20&gt;$C$24,"OVERSTRESSED AT SOLID",""),"")</f>
      </c>
      <c r="U5" s="103">
        <f>IF($L$2=1,IF($E$20&gt;$C$24,"OVERSTRESSED AT SOLID",""),"")</f>
      </c>
    </row>
    <row r="6" spans="1:21" ht="15" customHeight="1">
      <c r="A6" s="53"/>
      <c r="B6" s="60" t="s">
        <v>205</v>
      </c>
      <c r="C6" s="79" t="s">
        <v>5</v>
      </c>
      <c r="D6" s="101">
        <f>IF($L$2=1,IF($E$24&gt;$C$24*1.2,"OVERSTRESSED AT SOLID",""),"")</f>
      </c>
      <c r="E6" s="102">
        <f>IF($L$2=1,IF($E$24&gt;$C$24*1.2,"OVERSTRESSED AT LOAD",""),"")</f>
      </c>
      <c r="F6" s="103">
        <f>IF($L$2=1,IF($E$24&gt;$C$24*1.2,"OVERSTRESSED AT LOAD",""),"")</f>
      </c>
      <c r="G6" s="53"/>
      <c r="H6" s="53"/>
      <c r="I6" s="54"/>
      <c r="J6" s="54"/>
      <c r="K6" s="62">
        <v>1</v>
      </c>
      <c r="L6" s="63" t="s">
        <v>166</v>
      </c>
      <c r="M6" s="56"/>
      <c r="N6" s="56"/>
      <c r="O6" s="54"/>
      <c r="P6" s="54"/>
      <c r="Q6" s="60" t="s">
        <v>205</v>
      </c>
      <c r="R6" s="79" t="s">
        <v>5</v>
      </c>
      <c r="S6" s="101">
        <f>IF($L$2=1,IF($E$24&gt;$C$24*1.2,"OVERSTRESSED AT SOLID",""),"")</f>
      </c>
      <c r="T6" s="102">
        <f>IF($L$2=1,IF($E$24&gt;$C$24*1.2,"OVERSTRESSED AT LOAD",""),"")</f>
      </c>
      <c r="U6" s="103">
        <f>IF($L$2=1,IF($E$24&gt;$C$24*1.2,"OVERSTRESSED AT LOAD",""),"")</f>
      </c>
    </row>
    <row r="7" spans="1:21" ht="12.75">
      <c r="A7" s="53"/>
      <c r="B7" s="60" t="s">
        <v>108</v>
      </c>
      <c r="C7" s="79" t="s">
        <v>101</v>
      </c>
      <c r="D7" s="101">
        <f>IF($L$2=2,N19,"")</f>
      </c>
      <c r="E7" s="102">
        <f>IF($L$2=1,IF($E$24&gt;$C$24*1.2,"OVERSTRESSED AT LOAD",""),"")</f>
      </c>
      <c r="F7" s="103">
        <f>IF($L$2=1,IF($E$24&gt;$C$24*1.2,"OVERSTRESSED AT LOAD",""),"")</f>
      </c>
      <c r="G7" s="64"/>
      <c r="H7" s="53"/>
      <c r="I7" s="54"/>
      <c r="J7" s="54"/>
      <c r="K7" s="62">
        <v>2</v>
      </c>
      <c r="L7" s="63" t="s">
        <v>167</v>
      </c>
      <c r="M7" s="56"/>
      <c r="N7" s="56"/>
      <c r="O7" s="54"/>
      <c r="P7" s="54"/>
      <c r="Q7" s="60" t="s">
        <v>108</v>
      </c>
      <c r="R7" s="79" t="s">
        <v>101</v>
      </c>
      <c r="S7" s="101">
        <f>IF($L$2=2,AC19,"")</f>
      </c>
      <c r="T7" s="102">
        <f>IF($L$2=1,IF($E$24&gt;$C$24*1.2,"OVERSTRESSED AT LOAD",""),"")</f>
      </c>
      <c r="U7" s="103">
        <f>IF($L$2=1,IF($E$24&gt;$C$24*1.2,"OVERSTRESSED AT LOAD",""),"")</f>
      </c>
    </row>
    <row r="8" spans="1:21" ht="13.5" thickBot="1">
      <c r="A8" s="53"/>
      <c r="B8" s="65" t="s">
        <v>0</v>
      </c>
      <c r="C8" s="80"/>
      <c r="D8" s="104"/>
      <c r="E8" s="105"/>
      <c r="F8" s="106"/>
      <c r="G8" s="53"/>
      <c r="H8" s="53"/>
      <c r="I8" s="54"/>
      <c r="J8" s="54"/>
      <c r="K8" s="62">
        <v>3</v>
      </c>
      <c r="L8" s="63" t="s">
        <v>170</v>
      </c>
      <c r="M8" s="56"/>
      <c r="N8" s="56"/>
      <c r="O8" s="54"/>
      <c r="P8" s="54"/>
      <c r="Q8" s="65" t="s">
        <v>0</v>
      </c>
      <c r="R8" s="80"/>
      <c r="S8" s="104"/>
      <c r="T8" s="105"/>
      <c r="U8" s="106"/>
    </row>
    <row r="9" spans="1:21" ht="12.75">
      <c r="A9" s="53"/>
      <c r="B9" s="112" t="s">
        <v>184</v>
      </c>
      <c r="C9" s="113"/>
      <c r="D9" s="110" t="s">
        <v>34</v>
      </c>
      <c r="E9" s="111"/>
      <c r="F9" s="66" t="s">
        <v>18</v>
      </c>
      <c r="G9" s="53"/>
      <c r="H9" s="53"/>
      <c r="I9" s="54"/>
      <c r="J9" s="54"/>
      <c r="K9" s="62">
        <v>4</v>
      </c>
      <c r="L9" s="63" t="s">
        <v>168</v>
      </c>
      <c r="M9" s="56"/>
      <c r="N9" s="56"/>
      <c r="O9" s="54"/>
      <c r="P9" s="54"/>
      <c r="Q9" s="112" t="s">
        <v>184</v>
      </c>
      <c r="R9" s="113"/>
      <c r="S9" s="110" t="s">
        <v>34</v>
      </c>
      <c r="T9" s="111"/>
      <c r="U9" s="66" t="s">
        <v>18</v>
      </c>
    </row>
    <row r="10" spans="1:21" ht="12.75">
      <c r="A10" s="53"/>
      <c r="B10" s="67" t="str">
        <f>IF($C$10=0,"Material Code",VLOOKUP($C$10,$K$6:$L$27,2))</f>
        <v>Material Code</v>
      </c>
      <c r="C10" s="81">
        <v>0</v>
      </c>
      <c r="D10" s="40" t="str">
        <f>IF($L$2=1,"Tors. Modulus",IF($L$2=2,"Tors. Modulus",IF($L$2=3,"Modulus of Elast.","Mudulus")))</f>
        <v>Tors. Modulus</v>
      </c>
      <c r="E10" s="41">
        <f>IF($C$10=0,0,(IF($L$2=1,VLOOKUP($C$10,'S-DESIGN'!$I$2:$M$21,3)*10^6,IF($L$2=2,VLOOKUP($C$10,'S-DESIGN'!$I$2:$M$21,3)*10^6,IF($L$2=3,VLOOKUP($C$10,'S-DESIGN'!$I$2:$M$21,4)*10^6,0)))))</f>
        <v>0</v>
      </c>
      <c r="F10" s="86"/>
      <c r="G10" s="53"/>
      <c r="H10" s="53"/>
      <c r="I10" s="54"/>
      <c r="J10" s="54"/>
      <c r="K10" s="62">
        <v>5</v>
      </c>
      <c r="L10" s="63" t="s">
        <v>169</v>
      </c>
      <c r="M10" s="56"/>
      <c r="N10" s="56"/>
      <c r="O10" s="54"/>
      <c r="P10" s="54"/>
      <c r="Q10" s="67" t="str">
        <f>IF($C$10=0,"Material Code",VLOOKUP($C$10,$K$6:$L$27,2))</f>
        <v>Material Code</v>
      </c>
      <c r="R10" s="81">
        <v>0</v>
      </c>
      <c r="S10" s="40" t="str">
        <f>IF($L$2=1,"Tors. Modulus",IF($L$2=2,"Tors. Modulus",IF($L$2=3,"Modulus of Elast.","Mudulus")))</f>
        <v>Tors. Modulus</v>
      </c>
      <c r="T10" s="41">
        <f>IF($C$10=0,0,(IF($L$2=1,VLOOKUP($C$10,'S-DESIGN'!$I$2:$M$21,3)*10^6,IF($L$2=2,VLOOKUP($C$10,'S-DESIGN'!$I$2:$M$21,3)*10^6,IF($L$2=3,VLOOKUP($C$10,'S-DESIGN'!$I$2:$M$21,4)*10^6,0)))))</f>
        <v>0</v>
      </c>
      <c r="U10" s="86"/>
    </row>
    <row r="11" spans="1:21" ht="12.75">
      <c r="A11" s="53"/>
      <c r="B11" s="68" t="s">
        <v>8</v>
      </c>
      <c r="C11" s="82">
        <v>0</v>
      </c>
      <c r="D11" s="42" t="s">
        <v>11</v>
      </c>
      <c r="E11" s="43">
        <f>IF($C$11=0,0,$L$31/$C$11)</f>
        <v>0</v>
      </c>
      <c r="F11" s="87"/>
      <c r="G11" s="53"/>
      <c r="H11" s="53"/>
      <c r="I11" s="54"/>
      <c r="J11" s="54"/>
      <c r="K11" s="62">
        <v>6</v>
      </c>
      <c r="L11" s="63" t="s">
        <v>173</v>
      </c>
      <c r="M11" s="56"/>
      <c r="N11" s="56"/>
      <c r="O11" s="54"/>
      <c r="P11" s="54"/>
      <c r="Q11" s="68" t="s">
        <v>8</v>
      </c>
      <c r="R11" s="82">
        <v>0</v>
      </c>
      <c r="S11" s="42" t="s">
        <v>11</v>
      </c>
      <c r="T11" s="43">
        <f>IF($C$11=0,0,$L$31/$C$11)</f>
        <v>0</v>
      </c>
      <c r="U11" s="87"/>
    </row>
    <row r="12" spans="1:21" ht="12.75">
      <c r="A12" s="53"/>
      <c r="B12" s="85" t="s">
        <v>62</v>
      </c>
      <c r="C12" s="82">
        <v>0</v>
      </c>
      <c r="D12" s="42" t="str">
        <f>$B$12&amp;" SMI Toler.  +/-"</f>
        <v>O.D. SMI Toler.  +/-</v>
      </c>
      <c r="E12" s="44">
        <f>IF(C12&lt;&gt;0,'S-DESIGN'!C202,0)</f>
        <v>0</v>
      </c>
      <c r="F12" s="88"/>
      <c r="G12" s="53"/>
      <c r="H12" s="53"/>
      <c r="I12" s="54"/>
      <c r="J12" s="54"/>
      <c r="K12" s="62">
        <v>7</v>
      </c>
      <c r="L12" s="63" t="s">
        <v>172</v>
      </c>
      <c r="M12" s="56"/>
      <c r="N12" s="56"/>
      <c r="O12" s="54"/>
      <c r="P12" s="54"/>
      <c r="Q12" s="85" t="s">
        <v>62</v>
      </c>
      <c r="R12" s="82">
        <v>0</v>
      </c>
      <c r="S12" s="42" t="str">
        <f>$B$12&amp;" SMI Toler.  +/-"</f>
        <v>O.D. SMI Toler.  +/-</v>
      </c>
      <c r="T12" s="44">
        <f>IF(R12&lt;&gt;0,'S-DESIGN'!R202,0)</f>
        <v>0</v>
      </c>
      <c r="U12" s="88"/>
    </row>
    <row r="13" spans="1:21" ht="15" customHeight="1">
      <c r="A13" s="53"/>
      <c r="B13" s="68" t="s">
        <v>10</v>
      </c>
      <c r="C13" s="83">
        <v>0</v>
      </c>
      <c r="D13" s="42" t="str">
        <f>IF($L$2=1,"Rate (#/inc)",IF($L$2=2,"Rate (#/inc)",IF($L$2=3,"Rate (lbs/360deg)","Rate")))</f>
        <v>Rate (#/inc)</v>
      </c>
      <c r="E13" s="45">
        <f>IF($C$14&gt;0,IF($L$2=1,($E$10*$C$11^4/(8*$C$14*$L$31^3)),IF($L$2=2,(+$E$10*$C$11^4/(8*$C$14*$L$31^3)),IF($L$2=3,$E$10*$C$11^4/(10.8*$C$14*$L$31)))),0)</f>
        <v>0</v>
      </c>
      <c r="F13" s="89"/>
      <c r="G13" s="53"/>
      <c r="H13" s="53"/>
      <c r="I13" s="54"/>
      <c r="J13" s="54"/>
      <c r="K13" s="62">
        <v>8</v>
      </c>
      <c r="L13" s="63" t="s">
        <v>69</v>
      </c>
      <c r="M13" s="56"/>
      <c r="N13" s="56"/>
      <c r="O13" s="54"/>
      <c r="P13" s="54"/>
      <c r="Q13" s="68" t="s">
        <v>10</v>
      </c>
      <c r="R13" s="83">
        <v>0</v>
      </c>
      <c r="S13" s="42" t="str">
        <f>IF($L$2=1,"Rate (#/inc)",IF($L$2=2,"Rate (#/inc)",IF($L$2=3,"Rate (lbs/360deg)","Rate")))</f>
        <v>Rate (#/inc)</v>
      </c>
      <c r="T13" s="45">
        <f>IF($C$14&gt;0,IF($L$2=1,($E$10*$C$11^4/(8*$C$14*$L$31^3)),IF($L$2=2,(+$E$10*$C$11^4/(8*$C$14*$L$31^3)),IF($L$2=3,$E$10*$C$11^4/(10.8*$C$14*$L$31)))),0)</f>
        <v>0</v>
      </c>
      <c r="U13" s="89"/>
    </row>
    <row r="14" spans="1:21" ht="15" customHeight="1">
      <c r="A14" s="53"/>
      <c r="B14" s="68" t="s">
        <v>9</v>
      </c>
      <c r="C14" s="82"/>
      <c r="D14" s="42" t="s">
        <v>9</v>
      </c>
      <c r="E14" s="44">
        <f>IF($C$13=0,0,IF($L$2=1,$E$10*$C$11^4/(8*$C$13*$L$31^3),IF($L$2=2,$E$10*$C$11^4/(8*$C$13*$L$31^3),IF($L$2=3,$E$10*$C$11^4/(10.8*$C$13*$L$31)))))</f>
        <v>0</v>
      </c>
      <c r="F14" s="88"/>
      <c r="G14" s="53"/>
      <c r="H14" s="53"/>
      <c r="I14" s="69"/>
      <c r="J14" s="54"/>
      <c r="K14" s="62">
        <v>9</v>
      </c>
      <c r="L14" s="63" t="s">
        <v>171</v>
      </c>
      <c r="M14" s="56"/>
      <c r="N14" s="56"/>
      <c r="O14" s="54"/>
      <c r="P14" s="54"/>
      <c r="Q14" s="68" t="s">
        <v>9</v>
      </c>
      <c r="R14" s="82">
        <v>0</v>
      </c>
      <c r="S14" s="42" t="s">
        <v>9</v>
      </c>
      <c r="T14" s="44">
        <f>IF($C$13=0,0,IF($L$2=1,$E$10*$C$11^4/(8*$C$13*$L$31^3),IF($L$2=2,$E$10*$C$11^4/(8*$C$13*$L$31^3),IF($L$2=3,$E$10*$C$11^4/(10.8*$C$13*$L$31)))))</f>
        <v>0</v>
      </c>
      <c r="U14" s="88"/>
    </row>
    <row r="15" spans="1:21" ht="15" customHeight="1">
      <c r="A15" s="53"/>
      <c r="B15" s="68" t="str">
        <f>IF($L$2=1,"Freeheight",IF($L$2=2,"Ins. Hks Lgth","Field not applicable"))</f>
        <v>Freeheight</v>
      </c>
      <c r="C15" s="82">
        <v>0</v>
      </c>
      <c r="D15" s="42" t="str">
        <f>IF($L$2=3,"",$B$15&amp;" SMI Toler.  +/-")</f>
        <v>Freeheight SMI Toler.  +/-</v>
      </c>
      <c r="E15" s="46">
        <f>IF(D15="","",IF($C$15=0,0,(IF($L$2=3,0,(IF($L$2=1,(IF(OR($C$19=1,$C$19=2),(VLOOKUP(MAX($C$14,$E$14)/$C$15,'S-DESIGN'!$O$18:$X$28,HLOOKUP(ROUND(Design!$E$11,0)+1,'S-DESIGN'!$O$18:$X$28,2)+1)*Design!$C$15)*1.7,VLOOKUP(MAX($C$14,$E$14)/$C$15,'S-DESIGN'!$O$18:$X$28,HLOOKUP(ROUND(Design!$E$11,0)+1,'S-DESIGN'!$O$18:$X$28,2)+1)*Design!$C$15)),VLOOKUP(MAX($C$14,$E$14)/$C$15,'S-DESIGN'!$O$18:$X$28,HLOOKUP(ROUND(Design!$E$11,0)+1,'S-DESIGN'!$O$18:$X$28,2)+1)*Design!$C$15))))))</f>
        <v>0</v>
      </c>
      <c r="F15" s="90"/>
      <c r="G15" s="53"/>
      <c r="H15" s="53"/>
      <c r="I15" s="54"/>
      <c r="J15" s="54"/>
      <c r="K15" s="62">
        <v>10</v>
      </c>
      <c r="L15" s="63" t="s">
        <v>174</v>
      </c>
      <c r="M15" s="56"/>
      <c r="N15" s="56"/>
      <c r="O15" s="54"/>
      <c r="P15" s="54"/>
      <c r="Q15" s="68" t="str">
        <f>IF($L$2=1,"Freeheight",IF($L$2=2,"Ins. Hks Lgth","Field not applicable"))</f>
        <v>Freeheight</v>
      </c>
      <c r="R15" s="82">
        <v>0</v>
      </c>
      <c r="S15" s="42" t="str">
        <f>IF($L$2=3,"",$B$15&amp;" SMI Toler.  +/-")</f>
        <v>Freeheight SMI Toler.  +/-</v>
      </c>
      <c r="T15" s="46">
        <f>IF(S15="","",IF($C$15=0,0,(IF($L$2=3,0,(IF($L$2=1,(IF(OR($C$19=1,$C$19=2),(VLOOKUP(MAX($C$14,$E$14)/$C$15,'S-DESIGN'!$O$18:$X$28,HLOOKUP(ROUND(Design!$E$11,0)+1,'S-DESIGN'!$O$18:$X$28,2)+1)*Design!$C$15)*1.7,VLOOKUP(MAX($C$14,$E$14)/$C$15,'S-DESIGN'!$O$18:$X$28,HLOOKUP(ROUND(Design!$E$11,0)+1,'S-DESIGN'!$O$18:$X$28,2)+1)*Design!$C$15)),VLOOKUP(MAX($C$14,$E$14)/$C$15,'S-DESIGN'!$O$18:$X$28,HLOOKUP(ROUND(Design!$E$11,0)+1,'S-DESIGN'!$O$18:$X$28,2)+1)*Design!$C$15))))))</f>
        <v>0</v>
      </c>
      <c r="U15" s="90"/>
    </row>
    <row r="16" spans="1:21" ht="15" customHeight="1">
      <c r="A16" s="53"/>
      <c r="B16" s="68" t="str">
        <f>IF($L$2=2,"Init. Ten. Reqd.",IF($L$2=3,"Length O/C","Field not applicable"))</f>
        <v>Field not applicable</v>
      </c>
      <c r="C16" s="82">
        <v>0</v>
      </c>
      <c r="D16" s="42">
        <f>IF($L$2=2,"Max. Init. Tens.",IF($L$2=3,"Calc Lgth O/C",""))</f>
      </c>
      <c r="E16" s="46">
        <f>IF($L$2=1,"",(IF($L$2=2,PI()*$C$11^3*(33500/10^(0.0456*$E$11))/(8*$L$31),IF($L$2=3,(MAX($C$14,$E$14)+1)*$C$11))))</f>
      </c>
      <c r="F16" s="88"/>
      <c r="G16" s="53"/>
      <c r="H16" s="53"/>
      <c r="I16" s="54"/>
      <c r="J16" s="54"/>
      <c r="K16" s="62">
        <v>11</v>
      </c>
      <c r="L16" s="63" t="s">
        <v>175</v>
      </c>
      <c r="M16" s="56"/>
      <c r="N16" s="56"/>
      <c r="O16" s="54"/>
      <c r="P16" s="54"/>
      <c r="Q16" s="68" t="str">
        <f>IF($L$2=2,"Init. Ten. Reqd.",IF($L$2=3,"Length O/C","Field not applicable"))</f>
        <v>Field not applicable</v>
      </c>
      <c r="R16" s="82">
        <v>0</v>
      </c>
      <c r="S16" s="42">
        <f>IF($L$2=2,"Max. Init. Tens.",IF($L$2=3,"Calc Lgth O/C",""))</f>
      </c>
      <c r="T16" s="46">
        <f>IF($L$2=1,"",(IF($L$2=2,PI()*$C$11^3*(33500/10^(0.0456*$E$11))/(8*$L$31),IF($L$2=3,(MAX($C$14,$E$14)+1)*$C$11))))</f>
      </c>
      <c r="U16" s="88"/>
    </row>
    <row r="17" spans="1:21" ht="15" customHeight="1">
      <c r="A17" s="53"/>
      <c r="B17" s="68" t="str">
        <f>IF($L$2=1,"Initial Wking Hgt",IF($L$2=2,"Initial Wking Lgth",IF($L$2=3,"Init. Wkg. Defl. Deg.","Load 1 - Initial #")))</f>
        <v>Initial Wking Hgt</v>
      </c>
      <c r="C17" s="82">
        <v>0</v>
      </c>
      <c r="D17" s="42" t="str">
        <f>IF($L$2=1,"Load @ Initial Hgt",IF($L$2=2,"Load @Init. Length",IF($L$2=3,"Load @ Init. Defl","Initial")))</f>
        <v>Load @ Initial Hgt</v>
      </c>
      <c r="E17" s="46">
        <f>IF($L$2=1,($C$15-IF($C$17=0,$C$15,$C$17))*MAXA(+$C$13,+$E$13),IF($L$2=2,(IF($C$17=0,$C$15,$C$17)-$C$15)*MAXA($C$13,$E$13)+$C$16,IF($L$2=3,MAXA($C$13,$E$13)*($C$17/360),0)))</f>
        <v>0</v>
      </c>
      <c r="F17" s="90"/>
      <c r="G17" s="53"/>
      <c r="H17" s="53"/>
      <c r="I17" s="54"/>
      <c r="J17" s="54"/>
      <c r="K17" s="62">
        <v>12</v>
      </c>
      <c r="L17" s="63" t="s">
        <v>176</v>
      </c>
      <c r="M17" s="56"/>
      <c r="N17" s="56"/>
      <c r="O17" s="54"/>
      <c r="P17" s="54"/>
      <c r="Q17" s="68" t="str">
        <f>IF($L$2=1,"Initial Wking Hgt",IF($L$2=2,"Initial Wking Lgth",IF($L$2=3,"Init. Wkg. Defl. Deg.","Load 1 - Initial #")))</f>
        <v>Initial Wking Hgt</v>
      </c>
      <c r="R17" s="82">
        <v>0</v>
      </c>
      <c r="S17" s="42" t="str">
        <f>IF($L$2=1,"Load @ Initial Hgt",IF($L$2=2,"Load @Init. Length",IF($L$2=3,"Load @ Init. Defl","Initial")))</f>
        <v>Load @ Initial Hgt</v>
      </c>
      <c r="T17" s="46">
        <f>IF($L$2=1,($C$15-IF($C$17=0,$C$15,$C$17))*MAXA(+$C$13,+$E$13),IF($L$2=2,(IF($C$17=0,$C$15,$C$17)-$C$15)*MAXA($C$13,$E$13)+$C$16,IF($L$2=3,MAXA($C$13,$E$13)*($C$17/360),0)))</f>
        <v>0</v>
      </c>
      <c r="U17" s="90"/>
    </row>
    <row r="18" spans="1:21" ht="15" customHeight="1">
      <c r="A18" s="53"/>
      <c r="B18" s="68" t="str">
        <f>IF($L$2=1,"Final Wking Hgt",IF($L$2=2,"Final Wking Lgth",IF($L$2=3,"Final Wkg. Defl. Deg.","Load 2 - Final")))</f>
        <v>Final Wking Hgt</v>
      </c>
      <c r="C18" s="82">
        <v>0</v>
      </c>
      <c r="D18" s="42" t="str">
        <f>IF($L$2=1,"Load @ Wking Hgt",IF($L$2=2,"Load @ Wking Lgth",IF($L$2=3,"Load @ Wking Defl","Load @")))</f>
        <v>Load @ Wking Hgt</v>
      </c>
      <c r="E18" s="46">
        <f>IF($L$2=1,($C$15-IF($C$18=0,$C$15,$C$18))*MAXA(+$C$13,+$E$13),IF($L$2=2,(IF($C$18=0,$C$15,$C$18)-$C$15)*MAXA($C$13,$E$13)+$C$16,IF($L$2=3,MAXA($C$13,$E$13)*($C$18/360),0)))</f>
        <v>0</v>
      </c>
      <c r="F18" s="90"/>
      <c r="G18" s="53"/>
      <c r="H18" s="53"/>
      <c r="I18" s="54"/>
      <c r="J18" s="54"/>
      <c r="K18" s="62">
        <v>13</v>
      </c>
      <c r="L18" s="63" t="s">
        <v>177</v>
      </c>
      <c r="M18" s="56"/>
      <c r="N18" s="56"/>
      <c r="O18" s="54"/>
      <c r="P18" s="54"/>
      <c r="Q18" s="68" t="str">
        <f>IF($L$2=1,"Final Wking Hgt",IF($L$2=2,"Final Wking Lgth",IF($L$2=3,"Final Wkg. Defl. Deg.","Load 2 - Final")))</f>
        <v>Final Wking Hgt</v>
      </c>
      <c r="R18" s="82">
        <v>0</v>
      </c>
      <c r="S18" s="42" t="str">
        <f>IF($L$2=1,"Load @ Wking Hgt",IF($L$2=2,"Load @ Wking Lgth",IF($L$2=3,"Load @ Wking Defl","Load @")))</f>
        <v>Load @ Wking Hgt</v>
      </c>
      <c r="T18" s="46">
        <f>IF($L$2=1,($C$15-IF($C$18=0,$C$15,$C$18))*MAXA(+$C$13,+$E$13),IF($L$2=2,(IF($C$18=0,$C$15,$C$18)-$C$15)*MAXA($C$13,$E$13)+$C$16,IF($L$2=3,MAXA($C$13,$E$13)*($C$18/360),0)))</f>
        <v>0</v>
      </c>
      <c r="U18" s="90"/>
    </row>
    <row r="19" spans="1:21" ht="15" customHeight="1">
      <c r="A19" s="53"/>
      <c r="B19" s="68" t="str">
        <f>IF($L$2=1,IF($C$19=0,"Square &amp; Ground",IF($C$19=1,"Square not Ground",IF($C$19=2,"Open not Ground",IF($C$19=3,"Open &amp; Ground")))),IF($L$2=2,"Number of Hooks","Field not applicable"))</f>
        <v>Square &amp; Ground</v>
      </c>
      <c r="C19" s="84">
        <v>0</v>
      </c>
      <c r="D19" s="42" t="str">
        <f>IF($L$2=1,"Uncorr. Stress @ Hgt",IF($L$2=2,"Uncorr. Stress @ Lgth",IF($L$2=3,"Uncorr. Stress @ Defl","")))</f>
        <v>Uncorr. Stress @ Hgt</v>
      </c>
      <c r="E19" s="47">
        <f>IF($C$10=0,0,IF($L$2=3,32*$E$18/(PI()*$C$11^3),8*$E$18*$L$31/(PI()*$C$11^3)))</f>
        <v>0</v>
      </c>
      <c r="F19" s="88"/>
      <c r="G19" s="53"/>
      <c r="H19" s="53"/>
      <c r="I19" s="54"/>
      <c r="J19" s="54"/>
      <c r="K19" s="62">
        <v>14</v>
      </c>
      <c r="L19" s="63" t="s">
        <v>178</v>
      </c>
      <c r="M19" s="56"/>
      <c r="N19" s="56" t="str">
        <f>IF(C19=0,"EXTENSION SPRING - NO HOOKS",IF(C19=1,"EXTENSION SPRING - ONE REGULAR HOOK",IF(C19=2,"EXTENSION SPRING -TWO REGULAR HOOKS","")))</f>
        <v>EXTENSION SPRING - NO HOOKS</v>
      </c>
      <c r="O19" s="54"/>
      <c r="P19" s="54"/>
      <c r="Q19" s="68" t="str">
        <f>IF($L$2=1,IF($C$19=0,"Square &amp; Ground",IF($C$19=1,"Square not Ground",IF($C$19=2,"Open not Ground",IF($C$19=3,"Open &amp; Ground")))),IF($L$2=2,"Number of Hooks","Field not applicable"))</f>
        <v>Square &amp; Ground</v>
      </c>
      <c r="R19" s="84">
        <v>0</v>
      </c>
      <c r="S19" s="42" t="str">
        <f>IF($L$2=1,"Uncorr. Stress @ Hgt",IF($L$2=2,"Uncorr. Stress @ Lgth",IF($L$2=3,"Uncorr. Stress @ Defl","")))</f>
        <v>Uncorr. Stress @ Hgt</v>
      </c>
      <c r="T19" s="47">
        <f>IF($C$10=0,0,IF($L$2=3,32*$E$18/(PI()*$C$11^3),8*$E$18*$L$31/(PI()*$C$11^3)))</f>
        <v>0</v>
      </c>
      <c r="U19" s="88"/>
    </row>
    <row r="20" spans="1:21" ht="15" customHeight="1">
      <c r="A20" s="53"/>
      <c r="B20" s="68" t="str">
        <f>IF($L$2=2,"Matl/Elongated Hks.",IF($L$2=1,"Addit. Coils",IF($L$2=3,"Mtl/Spg(ends)","Ends")))</f>
        <v>Addit. Coils</v>
      </c>
      <c r="C20" s="84">
        <v>0</v>
      </c>
      <c r="D20" s="42" t="str">
        <f>IF($L$2=1,"Corr. Stress @ Hgt",IF($L$2=2,"Corr. Stress @ Lgth",IF($L$2=3,"Corr. Stress @ Defl","")))</f>
        <v>Corr. Stress @ Hgt</v>
      </c>
      <c r="E20" s="47">
        <f>IF(E11=0,0,$E$19*(((4*$E$11)-1)/((4*$E$11)-4)+(0.615/$E$11)))</f>
        <v>0</v>
      </c>
      <c r="F20" s="87">
        <f>IF($L$2=1,IF($E$20&gt;$C$24,"OVERSTRESSED AT SOLID",""),"")</f>
      </c>
      <c r="G20" s="53"/>
      <c r="H20" s="53"/>
      <c r="I20" s="54"/>
      <c r="J20" s="54"/>
      <c r="K20" s="62">
        <v>15</v>
      </c>
      <c r="L20" s="63" t="s">
        <v>179</v>
      </c>
      <c r="M20" s="56"/>
      <c r="N20" s="56"/>
      <c r="O20" s="54"/>
      <c r="P20" s="54"/>
      <c r="Q20" s="68" t="str">
        <f>IF($L$2=2,"Matl/Elongated Hks.",IF($L$2=1,"Addit. Coils",IF($L$2=3,"Mtl/Spg(ends)","Ends")))</f>
        <v>Addit. Coils</v>
      </c>
      <c r="R20" s="84">
        <v>0</v>
      </c>
      <c r="S20" s="42" t="str">
        <f>IF($L$2=1,"Corr. Stress @ Hgt",IF($L$2=2,"Corr. Stress @ Lgth",IF($L$2=3,"Corr. Stress @ Defl","")))</f>
        <v>Corr. Stress @ Hgt</v>
      </c>
      <c r="T20" s="47">
        <f>IF(T11=0,0,$E$19*(((4*$E$11)-1)/((4*$E$11)-4)+(0.615/$E$11)))</f>
        <v>0</v>
      </c>
      <c r="U20" s="87">
        <f>IF($L$2=1,IF($E$20&gt;$C$24,"OVERSTRESSED AT SOLID",""),"")</f>
      </c>
    </row>
    <row r="21" spans="1:21" ht="15" customHeight="1">
      <c r="A21" s="53"/>
      <c r="B21" s="49" t="str">
        <f>IF($L$2=2,"Lgth O/C","Pitch")</f>
        <v>Pitch</v>
      </c>
      <c r="C21" s="44">
        <f>IF($C$10=0,0,(IF($L$2=2,(MAX($C$14,$E$14)+1)*$C$11,(IF($L$2=3,((MAX($C$16,$E$16))-$E$16)/(MAX($C$14,$E$14))+$C$11,(IF($L$2=1,IF($C$19=0,'S-DESIGN'!$G$3,IF($C$19=1,'S-DESIGN'!$G$4,IF($C$19=2,'S-DESIGN'!$G$5,IF($C$19=3,'S-DESIGN'!$G$6,)))),0)))))))</f>
        <v>0</v>
      </c>
      <c r="D21" s="42" t="str">
        <f>IF($L$2=1,"Solid Hgt",IF($L$2=2,"Std. Inside Hk. Lgth",IF($L$2=3,"Free Angle +/-","Load 2 - Final")))</f>
        <v>Solid Hgt</v>
      </c>
      <c r="E21" s="44">
        <f>IF($L$2=2,(($L$31*0.75)*2)+$C$21,(IF($L$2=1,(IF($C$19=1,((MAX($C$14,$E$14)+3+$C$20)*$C$11),IF($C$19=0,((MAX($C$14,$E$14)+2+$C$20)*$C$11),((MAX($C$14,$E$14)+1)*$C$11)))),IF($L$2=3,(VLOOKUP(($C$14+$E$14),'S-DESIGN'!$O$74:$X$88,HLOOKUP(ROUND($E$11,0),'S-DESIGN'!$O$74:$X$88,2)+1))))))</f>
        <v>0</v>
      </c>
      <c r="F21" s="90"/>
      <c r="G21" s="53"/>
      <c r="H21" s="53"/>
      <c r="I21" s="54"/>
      <c r="J21" s="54"/>
      <c r="K21" s="62">
        <v>16</v>
      </c>
      <c r="L21" s="63" t="s">
        <v>180</v>
      </c>
      <c r="M21" s="56"/>
      <c r="N21" s="56"/>
      <c r="O21" s="54"/>
      <c r="P21" s="54"/>
      <c r="Q21" s="49" t="str">
        <f>IF($L$2=2,"Lgth O/C","Pitch")</f>
        <v>Pitch</v>
      </c>
      <c r="R21" s="44">
        <f>IF($C$10=0,0,(IF($L$2=2,(MAX($C$14,$E$14)+1)*$C$11,(IF($L$2=3,((MAX($C$16,$E$16))-$E$16)/(MAX($C$14,$E$14))+$C$11,(IF($L$2=1,IF($C$19=0,'S-DESIGN'!$G$3,IF($C$19=1,'S-DESIGN'!$G$4,IF($C$19=2,'S-DESIGN'!$G$5,IF($C$19=3,'S-DESIGN'!$G$6,)))),0)))))))</f>
        <v>0</v>
      </c>
      <c r="S21" s="42" t="str">
        <f>IF($L$2=1,"Solid Hgt",IF($L$2=2,"Std. Inside Hk. Lgth",IF($L$2=3,"Free Angle +/-","Load 2 - Final")))</f>
        <v>Solid Hgt</v>
      </c>
      <c r="T21" s="44">
        <f>IF($L$2=2,(($L$31*0.75)*2)+$C$21,(IF($L$2=1,(IF($C$19=1,((MAX($C$14,$E$14)+3+$C$20)*$C$11),IF($C$19=0,((MAX($C$14,$E$14)+2+$C$20)*$C$11),((MAX($C$14,$E$14)+1)*$C$11)))),IF($L$2=3,(VLOOKUP(($C$14+$E$14),'S-DESIGN'!$O$74:$X$88,HLOOKUP(ROUND($E$11,0),'S-DESIGN'!$O$74:$X$88,2)+1))))))</f>
        <v>0</v>
      </c>
      <c r="U21" s="90"/>
    </row>
    <row r="22" spans="1:21" ht="15" customHeight="1">
      <c r="A22" s="53"/>
      <c r="B22" s="49" t="s">
        <v>206</v>
      </c>
      <c r="C22" s="45">
        <f>IF($L$2=1,(PI()*$L$31*(MAX($C$14,$E$14)+(IF($C$19=0,2,IF($C$19=1,2,IF($C$19=2,0,0)+(IF($C$19=3,1,0))))+$C$20))),IF($L$2=3,(PI()*$L$31*MAXA($C$14,$E$14)+$C$20),IF($L$2=2,(PI()*$L$31*(MAXA($C$14,$E$14)+$C$19)+$C$20),0)))</f>
        <v>0</v>
      </c>
      <c r="D22" s="42" t="str">
        <f>IF($L$2=1,"Solid Load",IF($L$2=2,"Hook Stress (Bending)","I.D. Reduction/Final"))</f>
        <v>Solid Load</v>
      </c>
      <c r="E22" s="44">
        <f>IF($C$10=0,0,IF($L$2=3,(ROUND(MAX($C$14,$E$14)*($L$31-$C$11)/(MAX($C$14,$E$14)+($C$18/360)),0)),IF($L$2=1,MAX($C$13,+$E$13)*($C$15-$E$21),IF($L$2=2,ROUND((((16*$E$18)*$L$31)/(PI()*(($C$11)^3))),0),0))))</f>
        <v>0</v>
      </c>
      <c r="F22" s="88"/>
      <c r="G22" s="53"/>
      <c r="H22" s="53"/>
      <c r="I22" s="54"/>
      <c r="J22" s="54"/>
      <c r="K22" s="62">
        <v>17</v>
      </c>
      <c r="L22" s="63" t="s">
        <v>181</v>
      </c>
      <c r="M22" s="56"/>
      <c r="N22" s="70"/>
      <c r="O22" s="54"/>
      <c r="P22" s="54"/>
      <c r="Q22" s="49" t="s">
        <v>206</v>
      </c>
      <c r="R22" s="45">
        <f>IF($L$2=1,(PI()*$L$31*(MAX($C$14,$E$14)+(IF($C$19=0,2,IF($C$19=1,2,IF($C$19=2,0,0)+(IF($C$19=3,1,0))))+$C$20))),IF($L$2=3,(PI()*$L$31*MAXA($C$14,$E$14)+$C$20),IF($L$2=2,(PI()*$L$31*(MAXA($C$14,$E$14)+$C$19)+$C$20),0)))</f>
        <v>0</v>
      </c>
      <c r="S22" s="42" t="str">
        <f>IF($L$2=1,"Solid Load",IF($L$2=2,"Hook Stress (Bending)","I.D. Reduction/Final"))</f>
        <v>Solid Load</v>
      </c>
      <c r="T22" s="44">
        <f>IF($C$10=0,0,IF($L$2=3,(ROUND(MAX($C$14,$E$14)*($L$31-$C$11)/(MAX($C$14,$E$14)+($C$18/360)),0)),IF($L$2=1,MAX($C$13,+$E$13)*($C$15-$E$21),IF($L$2=2,ROUND((((16*$E$18)*$L$31)/(PI()*(($C$11)^3))),0),0))))</f>
        <v>0</v>
      </c>
      <c r="U22" s="88"/>
    </row>
    <row r="23" spans="1:21" ht="15" customHeight="1">
      <c r="A23" s="53"/>
      <c r="B23" s="49" t="s">
        <v>38</v>
      </c>
      <c r="C23" s="50">
        <f>IF($C$10=0,0,IF($L$2=1,'S-DESIGN'!$Q$65,IF($L$2=2,'S-DESIGN'!$Q$65,IF($L$2=3,'S-DESIGN'!$Q$65,0))))</f>
        <v>0</v>
      </c>
      <c r="D23" s="42" t="str">
        <f>IF($L$2=1,"Uncorr. Solid Stress",IF($L$2=2,"Max.Safe Hk. Stress",""))</f>
        <v>Uncorr. Solid Stress</v>
      </c>
      <c r="E23" s="47">
        <f>IF($C$10=0,0,IF($L$2=1,8*$E$22*$L$31/(PI()*$C$11^3),IF($L$2=2,(VLOOKUP($C$11,'S-DESIGN'!$BN$228:$CD$345,HLOOKUP($C$10,'S-DESIGN'!$BN$228:$CD$345,1)+1)*750),"")))</f>
        <v>0</v>
      </c>
      <c r="F23" s="88"/>
      <c r="G23" s="53"/>
      <c r="H23" s="53"/>
      <c r="I23" s="54"/>
      <c r="J23" s="54"/>
      <c r="K23" s="62">
        <v>18</v>
      </c>
      <c r="L23" s="63" t="s">
        <v>182</v>
      </c>
      <c r="M23" s="56"/>
      <c r="N23" s="56"/>
      <c r="O23" s="54"/>
      <c r="P23" s="54"/>
      <c r="Q23" s="49" t="s">
        <v>38</v>
      </c>
      <c r="R23" s="50">
        <f>IF($C$10=0,0,IF($L$2=1,'S-DESIGN'!$Q$65,IF($L$2=2,'S-DESIGN'!$Q$65,IF($L$2=3,'S-DESIGN'!$Q$65,0))))</f>
        <v>0</v>
      </c>
      <c r="S23" s="42" t="str">
        <f>IF($L$2=1,"Uncorr. Solid Stress",IF($L$2=2,"Max.Safe Hk. Stress",""))</f>
        <v>Uncorr. Solid Stress</v>
      </c>
      <c r="T23" s="47">
        <f>IF($C$10=0,0,IF($L$2=1,8*$E$22*$L$31/(PI()*$C$11^3),IF($L$2=2,(VLOOKUP($C$11,'S-DESIGN'!$BN$228:$CD$345,HLOOKUP($C$10,'S-DESIGN'!$BN$228:$CD$345,1)+1)*750),"")))</f>
        <v>0</v>
      </c>
      <c r="U23" s="88"/>
    </row>
    <row r="24" spans="1:21" ht="15" customHeight="1">
      <c r="A24" s="53"/>
      <c r="B24" s="49" t="s">
        <v>36</v>
      </c>
      <c r="C24" s="47">
        <f>IF($C$10=0,0,IF($L$2=2,IF('S-DESIGN'!$G$40=0,'S-DESIGN'!$G$7,'S-DESIGN'!$G$40),IF($L$2=1,IF('S-DESIGN'!$G$8=0,'S-DESIGN'!$G$7,'S-DESIGN'!$G$8),IF($L$2=3,IF('S-DESIGN'!$G$63=0,'S-DESIGN'!$G$7,'S-DESIGN'!$G$63),0))))</f>
        <v>0</v>
      </c>
      <c r="D24" s="42" t="str">
        <f>IF($L$2=1,"Corr. Solid Stress","")</f>
        <v>Corr. Solid Stress</v>
      </c>
      <c r="E24" s="47">
        <f>IF(E11=0,0,IF($L$2=1,$E$23*(((4*$E$11)-1)/((4*$E$11)-4)+(0.615/$E$11)),""))</f>
        <v>0</v>
      </c>
      <c r="F24" s="87"/>
      <c r="G24" s="53"/>
      <c r="H24" s="53"/>
      <c r="I24" s="54"/>
      <c r="J24" s="54"/>
      <c r="K24" s="62">
        <v>19</v>
      </c>
      <c r="L24" s="63" t="s">
        <v>183</v>
      </c>
      <c r="M24" s="56" t="s">
        <v>30</v>
      </c>
      <c r="N24" s="56" t="b">
        <f>IF(L2=1,OR(C19=1,C19=2),TRUE)</f>
        <v>0</v>
      </c>
      <c r="O24" s="54"/>
      <c r="P24" s="54"/>
      <c r="Q24" s="49" t="s">
        <v>36</v>
      </c>
      <c r="R24" s="47">
        <f>IF($C$10=0,0,IF($L$2=2,IF('S-DESIGN'!$G$40=0,'S-DESIGN'!$G$7,'S-DESIGN'!$G$40),IF($L$2=1,IF('S-DESIGN'!$G$8=0,'S-DESIGN'!$G$7,'S-DESIGN'!$G$8),IF($L$2=3,IF('S-DESIGN'!$G$63=0,'S-DESIGN'!$G$7,'S-DESIGN'!$G$63),0))))</f>
        <v>0</v>
      </c>
      <c r="S24" s="42" t="str">
        <f>IF($L$2=1,"Corr. Solid Stress","")</f>
        <v>Corr. Solid Stress</v>
      </c>
      <c r="T24" s="47">
        <f>IF(T11=0,0,IF($L$2=1,$E$23*(((4*$E$11)-1)/((4*$E$11)-4)+(0.615/$E$11)),""))</f>
        <v>0</v>
      </c>
      <c r="U24" s="87"/>
    </row>
    <row r="25" spans="1:21" ht="15" customHeight="1">
      <c r="A25" s="53"/>
      <c r="B25" s="49" t="s">
        <v>1</v>
      </c>
      <c r="C25" s="50">
        <f>IF(MAX(C13,E13)&lt;&gt;0,IF($L$2=1,ROUND((MAX($C$14,$E$14)+$N$26),3),ROUND(MAX(($C$14,$E$14)),3)),0)</f>
        <v>0</v>
      </c>
      <c r="D25" s="42" t="str">
        <f>IF($B$12="I.D.","Outside Diameter",IF($B$12="O.D.","Inside Diameter","Spring Diameter"))</f>
        <v>Inside Diameter</v>
      </c>
      <c r="E25" s="44">
        <f>IF($B$12="I.D.",$C$12+2*$C$11,IF($B$12="O.D.",$C$12-2*$C$11,0))</f>
        <v>0</v>
      </c>
      <c r="F25" s="87"/>
      <c r="G25" s="53"/>
      <c r="H25" s="53"/>
      <c r="I25" s="54"/>
      <c r="J25" s="54"/>
      <c r="K25" s="62">
        <v>20</v>
      </c>
      <c r="L25" s="63" t="s">
        <v>164</v>
      </c>
      <c r="M25" s="56" t="s">
        <v>32</v>
      </c>
      <c r="N25" s="56">
        <f>IF(L2=1,1,0)</f>
        <v>1</v>
      </c>
      <c r="O25" s="54"/>
      <c r="P25" s="54"/>
      <c r="Q25" s="49" t="s">
        <v>1</v>
      </c>
      <c r="R25" s="50">
        <f>IF(MAX(R13,T13)&lt;&gt;0,IF($L$2=1,ROUND((MAX($C$14,$E$14)+$N$26),3),ROUND(MAX(($C$14,$E$14)),3)),0)</f>
        <v>0</v>
      </c>
      <c r="S25" s="42" t="str">
        <f>IF($B$12="I.D.","Outside Diameter",IF($B$12="O.D.","Inside Diameter","Spring Diameter"))</f>
        <v>Inside Diameter</v>
      </c>
      <c r="T25" s="44">
        <f>IF($B$12="I.D.",$C$12+2*$C$11,IF($B$12="O.D.",$C$12-2*$C$11,0))</f>
        <v>0</v>
      </c>
      <c r="U25" s="87"/>
    </row>
    <row r="26" spans="1:21" ht="15" customHeight="1" thickBot="1">
      <c r="A26" s="53"/>
      <c r="B26" s="51"/>
      <c r="C26" s="52"/>
      <c r="D26" s="48" t="s">
        <v>35</v>
      </c>
      <c r="E26" s="52">
        <f>IF($C$12=0,0,IF($B$12="I.D.",$C$12+$C$11,IF($B$12="O.D.",$C$12-$C$11,0)))</f>
        <v>0</v>
      </c>
      <c r="F26" s="91"/>
      <c r="G26" s="53"/>
      <c r="H26" s="53"/>
      <c r="I26" s="54"/>
      <c r="J26" s="54"/>
      <c r="K26" s="62"/>
      <c r="L26" s="63"/>
      <c r="M26" s="56" t="s">
        <v>33</v>
      </c>
      <c r="N26" s="56">
        <f>IF(N25=0,0,IF(C19=2,0,IF(C19=3,1,2)))</f>
        <v>2</v>
      </c>
      <c r="O26" s="54"/>
      <c r="P26" s="54"/>
      <c r="Q26" s="51"/>
      <c r="R26" s="52"/>
      <c r="S26" s="48" t="s">
        <v>35</v>
      </c>
      <c r="T26" s="52">
        <f>IF($C$12=0,0,IF($B$12="I.D.",$C$12+$C$11,IF($B$12="O.D.",$C$12-$C$11,0)))</f>
        <v>0</v>
      </c>
      <c r="U26" s="91"/>
    </row>
    <row r="27" spans="1:21" ht="15" customHeight="1" thickTop="1">
      <c r="A27" s="53"/>
      <c r="B27" s="53"/>
      <c r="C27" s="53"/>
      <c r="D27" s="71"/>
      <c r="E27" s="53"/>
      <c r="F27" s="53"/>
      <c r="G27" s="72"/>
      <c r="H27" s="53"/>
      <c r="I27" s="54"/>
      <c r="J27" s="54"/>
      <c r="K27" s="62"/>
      <c r="L27" s="63"/>
      <c r="M27" s="56"/>
      <c r="N27" s="56"/>
      <c r="O27" s="54"/>
      <c r="P27" s="54"/>
      <c r="Q27" s="73"/>
      <c r="R27" s="73"/>
      <c r="S27" s="73"/>
      <c r="T27" s="73"/>
      <c r="U27" s="73"/>
    </row>
    <row r="28" spans="1:21" ht="15" customHeight="1">
      <c r="A28" s="53"/>
      <c r="B28" s="53"/>
      <c r="C28" s="53"/>
      <c r="D28" s="99" t="s">
        <v>207</v>
      </c>
      <c r="E28" s="92"/>
      <c r="F28" s="53"/>
      <c r="G28" s="53"/>
      <c r="H28" s="53"/>
      <c r="I28" s="54"/>
      <c r="J28" s="54"/>
      <c r="K28" s="56" t="s">
        <v>165</v>
      </c>
      <c r="L28" s="74"/>
      <c r="M28" s="56"/>
      <c r="N28" s="56"/>
      <c r="O28" s="54"/>
      <c r="P28" s="54"/>
      <c r="Q28" s="73"/>
      <c r="R28" s="73"/>
      <c r="S28" s="73"/>
      <c r="T28" s="73"/>
      <c r="U28" s="73"/>
    </row>
    <row r="29" spans="1:21" ht="15" customHeight="1">
      <c r="A29" s="53"/>
      <c r="B29" s="53"/>
      <c r="C29" s="53"/>
      <c r="D29" s="92" t="s">
        <v>3</v>
      </c>
      <c r="E29" s="92"/>
      <c r="F29" s="53"/>
      <c r="G29" s="53"/>
      <c r="H29" s="53"/>
      <c r="I29" s="54"/>
      <c r="J29" s="54"/>
      <c r="K29" s="56" t="s">
        <v>62</v>
      </c>
      <c r="L29" s="56"/>
      <c r="M29" s="56"/>
      <c r="N29" s="56"/>
      <c r="O29" s="54"/>
      <c r="P29" s="54"/>
      <c r="Q29" s="73"/>
      <c r="R29" s="73"/>
      <c r="S29" s="73"/>
      <c r="T29" s="73"/>
      <c r="U29" s="73"/>
    </row>
    <row r="30" spans="1:21" ht="15" customHeight="1">
      <c r="A30" s="54"/>
      <c r="B30" s="54"/>
      <c r="C30" s="54"/>
      <c r="D30" s="69"/>
      <c r="E30" s="54"/>
      <c r="F30" s="54"/>
      <c r="G30" s="54"/>
      <c r="H30" s="54"/>
      <c r="I30" s="54"/>
      <c r="J30" s="54"/>
      <c r="K30" s="56" t="s">
        <v>157</v>
      </c>
      <c r="L30" s="56"/>
      <c r="M30" s="56"/>
      <c r="N30" s="56"/>
      <c r="O30" s="54"/>
      <c r="P30" s="54"/>
      <c r="Q30" s="54"/>
      <c r="R30" s="54"/>
      <c r="S30" s="54"/>
      <c r="T30" s="54"/>
      <c r="U30" s="54"/>
    </row>
    <row r="31" spans="1:21" ht="15" customHeight="1">
      <c r="A31" s="54"/>
      <c r="B31" s="54"/>
      <c r="C31" s="54"/>
      <c r="D31" s="69"/>
      <c r="E31" s="54"/>
      <c r="F31" s="54"/>
      <c r="G31" s="54"/>
      <c r="H31" s="54"/>
      <c r="I31" s="54"/>
      <c r="J31" s="54"/>
      <c r="K31" s="56" t="s">
        <v>35</v>
      </c>
      <c r="L31" s="56">
        <f>IF($C$12=0,0,IF($B$12="I.D.",$C$12+$C$11,IF($B$12="O.D.",$C$12-$C$11,0)))</f>
        <v>0</v>
      </c>
      <c r="M31" s="56"/>
      <c r="N31" s="56"/>
      <c r="O31" s="54"/>
      <c r="P31" s="54"/>
      <c r="Q31" s="54"/>
      <c r="R31" s="54"/>
      <c r="S31" s="54"/>
      <c r="T31" s="54"/>
      <c r="U31" s="54"/>
    </row>
    <row r="32" spans="1:21" ht="15" customHeight="1">
      <c r="A32" s="54"/>
      <c r="B32" s="69"/>
      <c r="C32" s="69"/>
      <c r="D32" s="69"/>
      <c r="E32" s="69"/>
      <c r="F32" s="69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5" customHeight="1">
      <c r="A33" s="54"/>
      <c r="B33" s="69"/>
      <c r="C33" s="69"/>
      <c r="D33" s="69"/>
      <c r="E33" s="69"/>
      <c r="F33" s="69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5" customHeight="1">
      <c r="A34" s="54"/>
      <c r="B34" s="69"/>
      <c r="C34" s="69"/>
      <c r="D34" s="69"/>
      <c r="E34" s="69"/>
      <c r="F34" s="69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5" customHeight="1">
      <c r="A35" s="54"/>
      <c r="B35" s="69"/>
      <c r="C35" s="69"/>
      <c r="D35" s="69"/>
      <c r="E35" s="69"/>
      <c r="F35" s="69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ht="15" customHeight="1">
      <c r="A36" s="54"/>
      <c r="B36" s="69"/>
      <c r="C36" s="69"/>
      <c r="D36" s="69"/>
      <c r="E36" s="69"/>
      <c r="F36" s="69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ht="15" customHeight="1">
      <c r="A37" s="54"/>
      <c r="B37" s="69"/>
      <c r="C37" s="69"/>
      <c r="D37" s="69"/>
      <c r="E37" s="69"/>
      <c r="F37" s="69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ht="15" customHeight="1">
      <c r="A38" s="54"/>
      <c r="B38" s="54"/>
      <c r="C38" s="54"/>
      <c r="D38" s="54"/>
      <c r="E38" s="75"/>
      <c r="F38" s="75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5" customHeight="1">
      <c r="A39" s="54"/>
      <c r="B39" s="54"/>
      <c r="C39" s="54"/>
      <c r="D39" s="54"/>
      <c r="E39" s="61"/>
      <c r="F39" s="61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2.75">
      <c r="A40" s="54"/>
      <c r="B40" s="54"/>
      <c r="C40" s="54"/>
      <c r="D40" s="54"/>
      <c r="E40" s="61"/>
      <c r="F40" s="61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2.75">
      <c r="A41" s="54"/>
      <c r="B41" s="54"/>
      <c r="C41" s="54"/>
      <c r="D41" s="54"/>
      <c r="E41" s="61"/>
      <c r="F41" s="61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2.75">
      <c r="A42" s="54"/>
      <c r="B42" s="54"/>
      <c r="C42" s="54"/>
      <c r="D42" s="54"/>
      <c r="E42" s="61"/>
      <c r="F42" s="61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2.75">
      <c r="A43" s="54"/>
      <c r="B43" s="54"/>
      <c r="C43" s="54"/>
      <c r="D43" s="54"/>
      <c r="E43" s="61"/>
      <c r="F43" s="61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2.75">
      <c r="A44" s="54"/>
      <c r="B44" s="54"/>
      <c r="C44" s="54"/>
      <c r="D44" s="54"/>
      <c r="E44" s="61"/>
      <c r="F44" s="61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ht="13.5" thickBot="1">
      <c r="A151" s="54"/>
      <c r="B151" s="76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</sheetData>
  <sheetProtection sheet="1" objects="1" scenarios="1" selectLockedCells="1"/>
  <mergeCells count="18">
    <mergeCell ref="B2:F2"/>
    <mergeCell ref="Q2:U2"/>
    <mergeCell ref="D9:E9"/>
    <mergeCell ref="B9:C9"/>
    <mergeCell ref="E3:F3"/>
    <mergeCell ref="T3:U3"/>
    <mergeCell ref="S4:U4"/>
    <mergeCell ref="Q9:R9"/>
    <mergeCell ref="S9:T9"/>
    <mergeCell ref="D4:F4"/>
    <mergeCell ref="S5:U5"/>
    <mergeCell ref="S6:U6"/>
    <mergeCell ref="S7:U7"/>
    <mergeCell ref="S8:U8"/>
    <mergeCell ref="D5:F5"/>
    <mergeCell ref="D6:F6"/>
    <mergeCell ref="D7:F7"/>
    <mergeCell ref="D8:F8"/>
  </mergeCells>
  <conditionalFormatting sqref="Q15:Q16 S15:S16 B15:B16 D15:D16">
    <cfRule type="cellIs" priority="1" dxfId="5" operator="equal" stopIfTrue="1">
      <formula>"Field not applicable"</formula>
    </cfRule>
  </conditionalFormatting>
  <conditionalFormatting sqref="T11 E11">
    <cfRule type="cellIs" priority="2" dxfId="6" operator="notBetween" stopIfTrue="1">
      <formula>4</formula>
      <formula>14</formula>
    </cfRule>
  </conditionalFormatting>
  <conditionalFormatting sqref="Q19 B19">
    <cfRule type="cellIs" priority="3" dxfId="7" operator="equal" stopIfTrue="1">
      <formula>"Field not applicable"</formula>
    </cfRule>
  </conditionalFormatting>
  <conditionalFormatting sqref="U11 F11">
    <cfRule type="cellIs" priority="4" dxfId="8" operator="notEqual" stopIfTrue="1">
      <formula>""</formula>
    </cfRule>
  </conditionalFormatting>
  <conditionalFormatting sqref="U20 U24:U26 F20 F24:F26">
    <cfRule type="cellIs" priority="5" dxfId="9" operator="notEqual" stopIfTrue="1">
      <formula>""</formula>
    </cfRule>
  </conditionalFormatting>
  <dataValidations count="9">
    <dataValidation type="custom" allowBlank="1" showInputMessage="1" showErrorMessage="1" errorTitle="Diamond Wire Spring" error="Field Not Applicable" sqref="R15 C15">
      <formula1>AA2&lt;&gt;3</formula1>
    </dataValidation>
    <dataValidation type="custom" allowBlank="1" showInputMessage="1" showErrorMessage="1" errorTitle="Diamond Wire Spring" error="Field Not Applicable" sqref="R16 C16">
      <formula1>AA2&lt;&gt;1</formula1>
    </dataValidation>
    <dataValidation type="custom" operator="notBetween" allowBlank="1" showInputMessage="1" showErrorMessage="1" errorTitle="DWS - Error" error="Field not applicable" sqref="R19 C19">
      <formula1>AA2&lt;&gt;3</formula1>
    </dataValidation>
    <dataValidation type="list" showInputMessage="1" showErrorMessage="1" sqref="B151">
      <formula1>$M$2:$M$5</formula1>
    </dataValidation>
    <dataValidation type="list" allowBlank="1" showErrorMessage="1" promptTitle="Spring" prompt="Type of Spring" sqref="R3 C3">
      <formula1>$K$3:$K$5</formula1>
    </dataValidation>
    <dataValidation type="list" allowBlank="1" showErrorMessage="1" promptTitle="Direction" prompt="Wound Direction" sqref="R6 C6">
      <formula1>$L$3:$L$5</formula1>
    </dataValidation>
    <dataValidation type="whole" allowBlank="1" showErrorMessage="1" prompt="Material Code" errorTitle="DWS - Error" error="Check Material Codes" sqref="R10 C10">
      <formula1>0</formula1>
      <formula2>25</formula2>
    </dataValidation>
    <dataValidation allowBlank="1" showErrorMessage="1" prompt="Wire Size" sqref="R11 C11"/>
    <dataValidation type="list" allowBlank="1" showErrorMessage="1" promptTitle="SPRING DIAMETER" prompt="SCROLL TO SELECT OUTSIDE - INSIDE DIAMETER" sqref="Q12 B12">
      <formula1>$K$29:$K$30</formula1>
    </dataValidation>
  </dataValidations>
  <hyperlinks>
    <hyperlink ref="D28" r:id="rId1" display="Directions for using Excel Design Sheet"/>
    <hyperlink ref="D29" r:id="rId2" display="Designed by: Diamond Wire Spring Co"/>
  </hyperlinks>
  <printOptions horizontalCentered="1"/>
  <pageMargins left="0.25" right="0.24" top="1.06" bottom="0.53" header="0.37" footer="0.32"/>
  <pageSetup fitToHeight="1" fitToWidth="1" horizontalDpi="300" verticalDpi="300" orientation="portrait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IU8175"/>
  <sheetViews>
    <sheetView showGridLines="0" zoomScalePageLayoutView="0" workbookViewId="0" topLeftCell="A170">
      <selection activeCell="C202" sqref="C202"/>
    </sheetView>
  </sheetViews>
  <sheetFormatPr defaultColWidth="1.625" defaultRowHeight="12.75"/>
  <cols>
    <col min="1" max="1" width="9.375" style="22" customWidth="1"/>
    <col min="2" max="6" width="7.875" style="22" bestFit="1" customWidth="1"/>
    <col min="7" max="7" width="11.875" style="22" bestFit="1" customWidth="1"/>
    <col min="8" max="9" width="7.875" style="22" bestFit="1" customWidth="1"/>
    <col min="10" max="10" width="17.125" style="22" customWidth="1"/>
    <col min="11" max="13" width="12.625" style="22" customWidth="1"/>
    <col min="14" max="35" width="9.625" style="22" customWidth="1"/>
    <col min="36" max="36" width="15.625" style="22" customWidth="1"/>
    <col min="37" max="37" width="9.625" style="22" customWidth="1"/>
    <col min="38" max="38" width="17.625" style="22" customWidth="1"/>
    <col min="39" max="39" width="18.625" style="22" customWidth="1"/>
    <col min="40" max="45" width="9.625" style="22" customWidth="1"/>
    <col min="46" max="46" width="8.625" style="22" customWidth="1"/>
    <col min="47" max="47" width="15.625" style="22" customWidth="1"/>
    <col min="48" max="48" width="2.625" style="22" customWidth="1"/>
    <col min="49" max="52" width="9.625" style="22" customWidth="1"/>
    <col min="53" max="53" width="11.625" style="22" customWidth="1"/>
    <col min="54" max="246" width="9.625" style="22" customWidth="1"/>
    <col min="247" max="247" width="18.625" style="22" customWidth="1"/>
    <col min="248" max="248" width="2.625" style="22" customWidth="1"/>
    <col min="249" max="249" width="8.625" style="22" customWidth="1"/>
    <col min="250" max="250" width="4.625" style="22" customWidth="1"/>
    <col min="251" max="251" width="6.625" style="22" customWidth="1"/>
    <col min="252" max="252" width="3.625" style="22" customWidth="1"/>
    <col min="253" max="253" width="20.625" style="22" customWidth="1"/>
    <col min="254" max="254" width="2.625" style="22" customWidth="1"/>
    <col min="255" max="255" width="9.625" style="22" customWidth="1"/>
    <col min="256" max="16384" width="1.625" style="22" customWidth="1"/>
  </cols>
  <sheetData>
    <row r="1" spans="9:41" ht="12">
      <c r="I1" s="23" t="s">
        <v>110</v>
      </c>
      <c r="J1" s="23" t="s">
        <v>111</v>
      </c>
      <c r="K1" s="24" t="s">
        <v>112</v>
      </c>
      <c r="L1" s="24" t="s">
        <v>113</v>
      </c>
      <c r="M1" s="24" t="s">
        <v>114</v>
      </c>
      <c r="P1" s="22" t="s">
        <v>109</v>
      </c>
      <c r="S1" s="22" t="s">
        <v>115</v>
      </c>
      <c r="T1" s="22" t="s">
        <v>116</v>
      </c>
      <c r="AO1" s="22" t="s">
        <v>117</v>
      </c>
    </row>
    <row r="2" spans="9:24" ht="12">
      <c r="I2" s="25">
        <v>1</v>
      </c>
      <c r="J2" s="26" t="s">
        <v>118</v>
      </c>
      <c r="K2" s="25">
        <v>11.5</v>
      </c>
      <c r="L2" s="25">
        <v>30</v>
      </c>
      <c r="M2" s="25">
        <v>0.283</v>
      </c>
      <c r="O2" s="22">
        <v>0</v>
      </c>
      <c r="P2" s="22">
        <v>2</v>
      </c>
      <c r="Q2" s="22">
        <v>4</v>
      </c>
      <c r="R2" s="22">
        <v>6</v>
      </c>
      <c r="S2" s="22">
        <v>8</v>
      </c>
      <c r="T2" s="22">
        <v>10</v>
      </c>
      <c r="U2" s="22">
        <v>12</v>
      </c>
      <c r="V2" s="22">
        <v>14</v>
      </c>
      <c r="W2" s="22">
        <v>16</v>
      </c>
      <c r="X2" s="22">
        <v>20</v>
      </c>
    </row>
    <row r="3" spans="6:255" ht="12">
      <c r="F3" s="22" t="s">
        <v>37</v>
      </c>
      <c r="G3" s="27" t="e">
        <f>ROUND((Design!C15-(2*Design!C11)-(Design!C20*Design!C11))/(Design!C14+Design!E14),4)</f>
        <v>#DIV/0!</v>
      </c>
      <c r="I3" s="25">
        <v>2</v>
      </c>
      <c r="J3" s="28" t="s">
        <v>119</v>
      </c>
      <c r="K3" s="25">
        <v>11.5</v>
      </c>
      <c r="L3" s="25">
        <v>30</v>
      </c>
      <c r="M3" s="25">
        <v>0.283</v>
      </c>
      <c r="O3" s="22">
        <v>0.001</v>
      </c>
      <c r="P3" s="22">
        <v>2</v>
      </c>
      <c r="Q3" s="22">
        <v>2</v>
      </c>
      <c r="R3" s="22">
        <v>3</v>
      </c>
      <c r="S3" s="22">
        <v>4</v>
      </c>
      <c r="T3" s="22">
        <v>5</v>
      </c>
      <c r="U3" s="22">
        <v>6</v>
      </c>
      <c r="V3" s="22">
        <v>7</v>
      </c>
      <c r="W3" s="22">
        <v>8</v>
      </c>
      <c r="X3" s="22">
        <v>8</v>
      </c>
      <c r="AN3" s="25"/>
      <c r="IM3" s="29"/>
      <c r="IN3" s="29"/>
      <c r="IO3" s="29"/>
      <c r="IS3" s="29"/>
      <c r="IT3" s="29"/>
      <c r="IU3" s="29"/>
    </row>
    <row r="4" spans="7:255" ht="12">
      <c r="G4" s="27" t="e">
        <f>ROUND((Design!C15-(3*Design!C11)-(Design!C20*Design!C11))/(Design!C14+Design!E14),4)</f>
        <v>#DIV/0!</v>
      </c>
      <c r="I4" s="25">
        <v>3</v>
      </c>
      <c r="J4" s="28" t="s">
        <v>156</v>
      </c>
      <c r="K4" s="25">
        <v>11.5</v>
      </c>
      <c r="L4" s="25">
        <v>30</v>
      </c>
      <c r="M4" s="25">
        <v>0.283</v>
      </c>
      <c r="O4" s="22">
        <v>0.002</v>
      </c>
      <c r="Q4" s="22">
        <f>0.001*2</f>
        <v>0.002</v>
      </c>
      <c r="R4" s="22">
        <f>0.001*2</f>
        <v>0.002</v>
      </c>
      <c r="S4" s="22">
        <f>0.001*3</f>
        <v>0.003</v>
      </c>
      <c r="T4" s="22">
        <f>0.001*4</f>
        <v>0.004</v>
      </c>
      <c r="U4" s="22">
        <f>0.001*5</f>
        <v>0.005</v>
      </c>
      <c r="V4" s="22">
        <f>0.001*6</f>
        <v>0.006</v>
      </c>
      <c r="W4" s="22">
        <f>0.001*7</f>
        <v>0.007</v>
      </c>
      <c r="AK4" s="25"/>
      <c r="AN4" s="25"/>
      <c r="IU4" s="25"/>
    </row>
    <row r="5" spans="7:255" ht="12">
      <c r="G5" s="30" t="e">
        <f>ROUND((Design!C15-Design!C11)/(Design!C14+Design!E14),4)</f>
        <v>#DIV/0!</v>
      </c>
      <c r="I5" s="25">
        <v>4</v>
      </c>
      <c r="J5" s="28" t="s">
        <v>61</v>
      </c>
      <c r="K5" s="25">
        <v>11.5</v>
      </c>
      <c r="L5" s="25">
        <v>30</v>
      </c>
      <c r="M5" s="25">
        <v>0.283</v>
      </c>
      <c r="O5" s="22">
        <v>0.023</v>
      </c>
      <c r="Q5" s="22">
        <f>0.001*2</f>
        <v>0.002</v>
      </c>
      <c r="R5" s="22">
        <f>0.001*3</f>
        <v>0.003</v>
      </c>
      <c r="S5" s="22">
        <f>0.001*4</f>
        <v>0.004</v>
      </c>
      <c r="T5" s="22">
        <f>0.001*6</f>
        <v>0.006</v>
      </c>
      <c r="U5" s="22">
        <f>0.001*7</f>
        <v>0.007</v>
      </c>
      <c r="V5" s="22">
        <f>0.001*8</f>
        <v>0.008</v>
      </c>
      <c r="W5" s="22">
        <f>0.001*10</f>
        <v>0.01</v>
      </c>
      <c r="AU5" s="31"/>
      <c r="IO5" s="25"/>
      <c r="IU5" s="25"/>
    </row>
    <row r="6" spans="7:255" ht="12">
      <c r="G6" s="32">
        <f>(Design!C15)/(MAXA(Design!C14,Design!E14)+1)</f>
        <v>0</v>
      </c>
      <c r="I6" s="25">
        <v>5</v>
      </c>
      <c r="J6" s="28" t="s">
        <v>63</v>
      </c>
      <c r="K6" s="25">
        <v>11.5</v>
      </c>
      <c r="L6" s="25">
        <v>30</v>
      </c>
      <c r="M6" s="25">
        <v>0.283</v>
      </c>
      <c r="O6" s="22">
        <v>0.035</v>
      </c>
      <c r="Q6" s="22">
        <f>0.001*2</f>
        <v>0.002</v>
      </c>
      <c r="R6" s="22">
        <f>0.001*4</f>
        <v>0.004</v>
      </c>
      <c r="S6" s="22">
        <f>0.001*6</f>
        <v>0.006</v>
      </c>
      <c r="T6" s="22">
        <f>0.001*7</f>
        <v>0.007</v>
      </c>
      <c r="U6" s="22">
        <f>0.001*9</f>
        <v>0.009000000000000001</v>
      </c>
      <c r="V6" s="22">
        <f>0.001*11</f>
        <v>0.011</v>
      </c>
      <c r="W6" s="22">
        <f>0.001*13</f>
        <v>0.013000000000000001</v>
      </c>
      <c r="AK6" s="25"/>
      <c r="AN6" s="25"/>
      <c r="AU6" s="31"/>
      <c r="IO6" s="25"/>
      <c r="IQ6" s="25"/>
      <c r="IU6" s="25"/>
    </row>
    <row r="7" spans="8:255" ht="12">
      <c r="H7" s="24" t="s">
        <v>64</v>
      </c>
      <c r="I7" s="25">
        <v>6</v>
      </c>
      <c r="J7" s="28" t="s">
        <v>65</v>
      </c>
      <c r="K7" s="25">
        <v>10</v>
      </c>
      <c r="L7" s="25">
        <v>28</v>
      </c>
      <c r="M7" s="25">
        <v>0.29</v>
      </c>
      <c r="O7" s="22">
        <v>0.051000000000000004</v>
      </c>
      <c r="Q7" s="22">
        <f>0.001*3</f>
        <v>0.003</v>
      </c>
      <c r="R7" s="22">
        <f>0.001*5</f>
        <v>0.005</v>
      </c>
      <c r="S7" s="22">
        <f>0.001*7</f>
        <v>0.007</v>
      </c>
      <c r="T7" s="22">
        <f>0.001*10</f>
        <v>0.01</v>
      </c>
      <c r="U7" s="22">
        <f>0.001*12</f>
        <v>0.012</v>
      </c>
      <c r="V7" s="22">
        <f>0.001*15</f>
        <v>0.015</v>
      </c>
      <c r="W7" s="22">
        <f>0.001*17</f>
        <v>0.017</v>
      </c>
      <c r="AK7" s="25"/>
      <c r="AN7" s="25"/>
      <c r="IO7" s="25"/>
      <c r="IU7" s="25"/>
    </row>
    <row r="8" spans="7:255" ht="12">
      <c r="G8" s="25">
        <f>VLOOKUP(Design!C11,W228:AM400,HLOOKUP(Design!C10,W228:AM400,1)+1)*1000</f>
        <v>0</v>
      </c>
      <c r="H8" s="24" t="s">
        <v>66</v>
      </c>
      <c r="I8" s="25">
        <v>7</v>
      </c>
      <c r="J8" s="28" t="s">
        <v>67</v>
      </c>
      <c r="K8" s="25">
        <v>10</v>
      </c>
      <c r="L8" s="25">
        <v>28</v>
      </c>
      <c r="M8" s="25">
        <v>0.29</v>
      </c>
      <c r="O8" s="22">
        <v>0.076</v>
      </c>
      <c r="Q8" s="22">
        <f>0.001*4</f>
        <v>0.004</v>
      </c>
      <c r="R8" s="22">
        <f>0.001*7</f>
        <v>0.007</v>
      </c>
      <c r="S8" s="22">
        <f>0.001*10</f>
        <v>0.01</v>
      </c>
      <c r="T8" s="22">
        <f>0.001*13</f>
        <v>0.013000000000000001</v>
      </c>
      <c r="U8" s="22">
        <f>0.001*16</f>
        <v>0.016</v>
      </c>
      <c r="V8" s="22">
        <f>0.001*19</f>
        <v>0.019</v>
      </c>
      <c r="W8" s="22">
        <f>0.001*22</f>
        <v>0.022</v>
      </c>
      <c r="IO8" s="25"/>
      <c r="IQ8" s="25"/>
      <c r="IU8" s="25"/>
    </row>
    <row r="9" spans="7:255" ht="12">
      <c r="G9" s="25"/>
      <c r="H9" s="24" t="s">
        <v>68</v>
      </c>
      <c r="I9" s="25">
        <v>8</v>
      </c>
      <c r="J9" s="28" t="s">
        <v>69</v>
      </c>
      <c r="K9" s="25">
        <v>11</v>
      </c>
      <c r="L9" s="25">
        <v>29.5</v>
      </c>
      <c r="M9" s="25">
        <v>0.279</v>
      </c>
      <c r="O9" s="22">
        <v>0.114</v>
      </c>
      <c r="Q9" s="22">
        <f>0.001*6</f>
        <v>0.006</v>
      </c>
      <c r="R9" s="22">
        <f>0.001*9</f>
        <v>0.009000000000000001</v>
      </c>
      <c r="S9" s="22">
        <f>0.001*13</f>
        <v>0.013000000000000001</v>
      </c>
      <c r="T9" s="22">
        <f>0.001*18</f>
        <v>0.018000000000000002</v>
      </c>
      <c r="U9" s="22">
        <f>0.001*21</f>
        <v>0.021</v>
      </c>
      <c r="V9" s="22">
        <f>0.001*25</f>
        <v>0.025</v>
      </c>
      <c r="W9" s="22">
        <f>0.001*29</f>
        <v>0.029</v>
      </c>
      <c r="AK9" s="25"/>
      <c r="AN9" s="25"/>
      <c r="IO9" s="25"/>
      <c r="IU9" s="25"/>
    </row>
    <row r="10" spans="8:255" ht="12">
      <c r="H10" s="24" t="s">
        <v>70</v>
      </c>
      <c r="I10" s="25">
        <v>9</v>
      </c>
      <c r="J10" s="28" t="s">
        <v>71</v>
      </c>
      <c r="K10" s="25">
        <v>6.25</v>
      </c>
      <c r="L10" s="25">
        <v>15</v>
      </c>
      <c r="M10" s="25">
        <v>0.32</v>
      </c>
      <c r="O10" s="22">
        <v>0.171</v>
      </c>
      <c r="Q10" s="22">
        <f>0.001*8</f>
        <v>0.008</v>
      </c>
      <c r="R10" s="22">
        <f>0.001*12</f>
        <v>0.012</v>
      </c>
      <c r="S10" s="22">
        <f>0.001*17</f>
        <v>0.017</v>
      </c>
      <c r="T10" s="22">
        <f>0.001*23</f>
        <v>0.023</v>
      </c>
      <c r="U10" s="22">
        <f>0.001*28</f>
        <v>0.028</v>
      </c>
      <c r="V10" s="22">
        <f>0.001*33</f>
        <v>0.033</v>
      </c>
      <c r="W10" s="22">
        <f>0.001*38</f>
        <v>0.038</v>
      </c>
      <c r="AK10" s="25"/>
      <c r="AN10" s="25"/>
      <c r="AQ10" s="22" t="s">
        <v>117</v>
      </c>
      <c r="IO10" s="25"/>
      <c r="IU10" s="25"/>
    </row>
    <row r="11" spans="8:251" ht="12">
      <c r="H11" s="24" t="s">
        <v>72</v>
      </c>
      <c r="I11" s="25">
        <v>10</v>
      </c>
      <c r="J11" s="28" t="s">
        <v>73</v>
      </c>
      <c r="K11" s="25">
        <v>9.5</v>
      </c>
      <c r="L11" s="25">
        <v>26</v>
      </c>
      <c r="M11" s="25">
        <v>0.306</v>
      </c>
      <c r="O11" s="22">
        <v>0.25</v>
      </c>
      <c r="Q11" s="22">
        <f>0.001*11</f>
        <v>0.011</v>
      </c>
      <c r="R11" s="22">
        <f>0.001*15</f>
        <v>0.015</v>
      </c>
      <c r="S11" s="22">
        <f>0.001*21</f>
        <v>0.021</v>
      </c>
      <c r="T11" s="22">
        <f>0.001*28</f>
        <v>0.028</v>
      </c>
      <c r="U11" s="22">
        <f>0.001*35</f>
        <v>0.035</v>
      </c>
      <c r="V11" s="22">
        <f>0.001*42</f>
        <v>0.042</v>
      </c>
      <c r="W11" s="22">
        <f>0.001*49</f>
        <v>0.049</v>
      </c>
      <c r="AK11" s="25"/>
      <c r="IO11" s="25"/>
      <c r="IQ11" s="25"/>
    </row>
    <row r="12" spans="9:255" ht="12">
      <c r="I12" s="25">
        <v>11</v>
      </c>
      <c r="J12" s="28" t="s">
        <v>74</v>
      </c>
      <c r="K12" s="25">
        <v>10.4</v>
      </c>
      <c r="L12" s="25">
        <v>29</v>
      </c>
      <c r="M12" s="25">
        <v>0.286</v>
      </c>
      <c r="O12" s="22">
        <v>0.375</v>
      </c>
      <c r="Q12" s="22">
        <f>0.001*16</f>
        <v>0.016</v>
      </c>
      <c r="R12" s="22">
        <f>0.001*20</f>
        <v>0.02</v>
      </c>
      <c r="S12" s="22">
        <f>0.001*26</f>
        <v>0.026000000000000002</v>
      </c>
      <c r="T12" s="22">
        <f>0.001*37</f>
        <v>0.037</v>
      </c>
      <c r="U12" s="22">
        <f>0.001*46</f>
        <v>0.046</v>
      </c>
      <c r="V12" s="22">
        <f>0.001*54</f>
        <v>0.054</v>
      </c>
      <c r="W12" s="22">
        <f>0.001*64</f>
        <v>0.064</v>
      </c>
      <c r="AN12" s="25"/>
      <c r="IS12" s="29"/>
      <c r="IT12" s="29"/>
      <c r="IU12" s="29"/>
    </row>
    <row r="13" spans="8:255" ht="12">
      <c r="H13" s="24" t="s">
        <v>75</v>
      </c>
      <c r="I13" s="25">
        <v>12</v>
      </c>
      <c r="J13" s="28" t="s">
        <v>76</v>
      </c>
      <c r="K13" s="25">
        <v>11</v>
      </c>
      <c r="L13" s="25">
        <v>31</v>
      </c>
      <c r="M13" s="25">
        <v>0.305</v>
      </c>
      <c r="O13" s="22">
        <v>0.5</v>
      </c>
      <c r="Q13" s="22">
        <f>0.001*21</f>
        <v>0.021</v>
      </c>
      <c r="R13" s="22">
        <f>0.001*30</f>
        <v>0.03</v>
      </c>
      <c r="S13" s="22">
        <f>0.001*40</f>
        <v>0.04</v>
      </c>
      <c r="T13" s="22">
        <f>0.001*62</f>
        <v>0.062</v>
      </c>
      <c r="U13" s="22">
        <f>0.001*80</f>
        <v>0.08</v>
      </c>
      <c r="V13" s="22">
        <f>0.001*100</f>
        <v>0.1</v>
      </c>
      <c r="W13" s="22">
        <f>0.001*125</f>
        <v>0.125</v>
      </c>
      <c r="AN13" s="25"/>
      <c r="IU13" s="25"/>
    </row>
    <row r="14" spans="9:255" ht="12">
      <c r="I14" s="25">
        <v>13</v>
      </c>
      <c r="J14" s="28" t="s">
        <v>77</v>
      </c>
      <c r="K14" s="25">
        <v>11.5</v>
      </c>
      <c r="L14" s="25">
        <v>31</v>
      </c>
      <c r="M14" s="25">
        <v>0.298</v>
      </c>
      <c r="O14" s="22">
        <v>0.751</v>
      </c>
      <c r="Q14" s="22" t="s">
        <v>109</v>
      </c>
      <c r="R14" s="22" t="s">
        <v>109</v>
      </c>
      <c r="S14" s="22" t="s">
        <v>109</v>
      </c>
      <c r="T14" s="22" t="s">
        <v>109</v>
      </c>
      <c r="U14" s="22" t="s">
        <v>109</v>
      </c>
      <c r="V14" s="22" t="s">
        <v>109</v>
      </c>
      <c r="W14" s="22" t="s">
        <v>109</v>
      </c>
      <c r="X14" s="22" t="s">
        <v>109</v>
      </c>
      <c r="AK14" s="25"/>
      <c r="AN14" s="25"/>
      <c r="IU14" s="25"/>
    </row>
    <row r="15" spans="9:255" ht="12">
      <c r="I15" s="25">
        <v>14</v>
      </c>
      <c r="J15" s="28" t="s">
        <v>12</v>
      </c>
      <c r="K15" s="25">
        <v>7</v>
      </c>
      <c r="L15" s="25">
        <v>18.5</v>
      </c>
      <c r="M15" s="25">
        <v>0.298</v>
      </c>
      <c r="IK15" s="21"/>
      <c r="IM15" s="29"/>
      <c r="IN15" s="29"/>
      <c r="IO15" s="29"/>
      <c r="IU15" s="25"/>
    </row>
    <row r="16" spans="9:249" ht="12">
      <c r="I16" s="25">
        <v>15</v>
      </c>
      <c r="J16" s="28" t="s">
        <v>159</v>
      </c>
      <c r="K16" s="25">
        <v>9.5</v>
      </c>
      <c r="L16" s="25">
        <v>26</v>
      </c>
      <c r="M16" s="25">
        <v>0.319</v>
      </c>
      <c r="IK16" s="25"/>
      <c r="IO16" s="25"/>
    </row>
    <row r="17" spans="9:255" ht="12">
      <c r="I17" s="25">
        <v>16</v>
      </c>
      <c r="J17" s="28" t="s">
        <v>160</v>
      </c>
      <c r="K17" s="25">
        <v>5</v>
      </c>
      <c r="L17" s="25">
        <v>5</v>
      </c>
      <c r="M17" s="25">
        <v>0.3039</v>
      </c>
      <c r="S17" s="22" t="s">
        <v>78</v>
      </c>
      <c r="T17" s="22" t="s">
        <v>79</v>
      </c>
      <c r="IO17" s="25"/>
      <c r="IU17" s="25"/>
    </row>
    <row r="18" spans="9:24" ht="12">
      <c r="I18" s="25">
        <v>17</v>
      </c>
      <c r="J18" s="28" t="s">
        <v>161</v>
      </c>
      <c r="K18" s="25">
        <v>11.2</v>
      </c>
      <c r="L18" s="25">
        <v>28.5</v>
      </c>
      <c r="M18" s="25">
        <v>0.3</v>
      </c>
      <c r="O18" s="22">
        <v>0</v>
      </c>
      <c r="P18" s="22">
        <v>2</v>
      </c>
      <c r="Q18" s="22">
        <v>4</v>
      </c>
      <c r="R18" s="22">
        <v>6</v>
      </c>
      <c r="S18" s="22">
        <v>8</v>
      </c>
      <c r="T18" s="22">
        <v>10</v>
      </c>
      <c r="U18" s="22">
        <v>12</v>
      </c>
      <c r="V18" s="22">
        <v>14</v>
      </c>
      <c r="W18" s="22">
        <v>16</v>
      </c>
      <c r="X18" s="22">
        <v>20</v>
      </c>
    </row>
    <row r="19" spans="9:255" ht="12">
      <c r="I19" s="25">
        <v>18</v>
      </c>
      <c r="J19" s="28" t="s">
        <v>162</v>
      </c>
      <c r="K19" s="25">
        <v>6</v>
      </c>
      <c r="L19" s="25">
        <v>16</v>
      </c>
      <c r="M19" s="25">
        <v>0.308</v>
      </c>
      <c r="O19" s="22">
        <v>0.001</v>
      </c>
      <c r="P19" s="22">
        <v>2</v>
      </c>
      <c r="Q19" s="22">
        <v>2</v>
      </c>
      <c r="R19" s="22">
        <v>3</v>
      </c>
      <c r="S19" s="22">
        <v>4</v>
      </c>
      <c r="T19" s="22">
        <v>5</v>
      </c>
      <c r="U19" s="22">
        <v>6</v>
      </c>
      <c r="V19" s="22">
        <v>7</v>
      </c>
      <c r="W19" s="22">
        <v>8</v>
      </c>
      <c r="X19" s="22">
        <v>8</v>
      </c>
      <c r="IO19" s="25"/>
      <c r="IT19" s="25"/>
      <c r="IU19" s="25"/>
    </row>
    <row r="20" spans="9:23" ht="12">
      <c r="I20" s="25">
        <v>19</v>
      </c>
      <c r="J20" s="28" t="s">
        <v>163</v>
      </c>
      <c r="K20" s="25">
        <v>11</v>
      </c>
      <c r="L20" s="25">
        <v>0</v>
      </c>
      <c r="M20" s="25">
        <v>0.283</v>
      </c>
      <c r="O20" s="22">
        <v>0.002</v>
      </c>
      <c r="Q20" s="22">
        <f>0.001*10</f>
        <v>0.01</v>
      </c>
      <c r="R20" s="22">
        <f>0.001*11</f>
        <v>0.011</v>
      </c>
      <c r="S20" s="22">
        <f>0.001*12</f>
        <v>0.012</v>
      </c>
      <c r="T20" s="22">
        <f>0.001*13</f>
        <v>0.013000000000000001</v>
      </c>
      <c r="U20" s="22">
        <f>0.001*15</f>
        <v>0.015</v>
      </c>
      <c r="V20" s="22">
        <f>0.001*16</f>
        <v>0.016</v>
      </c>
      <c r="W20" s="22">
        <f>0.001*16</f>
        <v>0.016</v>
      </c>
    </row>
    <row r="21" spans="9:23" ht="12">
      <c r="I21" s="25">
        <v>20</v>
      </c>
      <c r="J21" s="28" t="s">
        <v>164</v>
      </c>
      <c r="K21" s="25">
        <v>12</v>
      </c>
      <c r="L21" s="25">
        <v>30</v>
      </c>
      <c r="M21" s="25">
        <v>0.304</v>
      </c>
      <c r="O21" s="22">
        <v>1</v>
      </c>
      <c r="Q21" s="22">
        <f>0.001*11</f>
        <v>0.011</v>
      </c>
      <c r="R21" s="22">
        <f>0.001*13</f>
        <v>0.013000000000000001</v>
      </c>
      <c r="S21" s="22">
        <f>0.001*15</f>
        <v>0.015</v>
      </c>
      <c r="T21" s="22">
        <f>0.001*16</f>
        <v>0.016</v>
      </c>
      <c r="U21" s="22">
        <f>0.001*17</f>
        <v>0.017</v>
      </c>
      <c r="V21" s="22">
        <f>0.001*18</f>
        <v>0.018000000000000002</v>
      </c>
      <c r="W21" s="22">
        <f>0.001*19</f>
        <v>0.019</v>
      </c>
    </row>
    <row r="22" spans="6:23" ht="12">
      <c r="F22" s="22" t="s">
        <v>109</v>
      </c>
      <c r="I22" s="22" t="s">
        <v>109</v>
      </c>
      <c r="O22" s="22">
        <v>2</v>
      </c>
      <c r="Q22" s="22">
        <f>0.001*13</f>
        <v>0.013000000000000001</v>
      </c>
      <c r="R22" s="22">
        <f>0.001*15</f>
        <v>0.015</v>
      </c>
      <c r="S22" s="22">
        <f>0.001*17</f>
        <v>0.017</v>
      </c>
      <c r="T22" s="22">
        <f>0.001*19</f>
        <v>0.019</v>
      </c>
      <c r="U22" s="22">
        <f>0.001*20</f>
        <v>0.02</v>
      </c>
      <c r="V22" s="22">
        <f>0.001*11*2</f>
        <v>0.022</v>
      </c>
      <c r="W22" s="22">
        <f>0.001*23</f>
        <v>0.023</v>
      </c>
    </row>
    <row r="23" spans="6:255" ht="12">
      <c r="F23" s="22" t="s">
        <v>109</v>
      </c>
      <c r="I23" s="22" t="s">
        <v>109</v>
      </c>
      <c r="O23" s="22">
        <v>4</v>
      </c>
      <c r="Q23" s="22">
        <f>0.001*16</f>
        <v>0.016</v>
      </c>
      <c r="R23" s="22">
        <f>0.001*18</f>
        <v>0.018000000000000002</v>
      </c>
      <c r="S23" s="22">
        <f>0.001*21</f>
        <v>0.021</v>
      </c>
      <c r="T23" s="22">
        <f>0.001*23</f>
        <v>0.023</v>
      </c>
      <c r="U23" s="22">
        <f>0.001*24</f>
        <v>0.024</v>
      </c>
      <c r="V23" s="22">
        <f>0.001*26</f>
        <v>0.026000000000000002</v>
      </c>
      <c r="W23" s="22">
        <f>0.001*27</f>
        <v>0.027</v>
      </c>
      <c r="IM23" s="29"/>
      <c r="IN23" s="29"/>
      <c r="IO23" s="29"/>
      <c r="IS23" s="29"/>
      <c r="IT23" s="29"/>
      <c r="IU23" s="29"/>
    </row>
    <row r="24" spans="6:255" ht="12">
      <c r="F24" s="22" t="s">
        <v>109</v>
      </c>
      <c r="I24" s="22" t="s">
        <v>109</v>
      </c>
      <c r="O24" s="22">
        <v>8</v>
      </c>
      <c r="Q24" s="22">
        <f>0.001*19</f>
        <v>0.019</v>
      </c>
      <c r="R24" s="22">
        <f>0.001*22</f>
        <v>0.022</v>
      </c>
      <c r="S24" s="22">
        <f>0.001*24</f>
        <v>0.024</v>
      </c>
      <c r="T24" s="22">
        <f>0.001*26</f>
        <v>0.026000000000000002</v>
      </c>
      <c r="U24" s="22">
        <f>0.001*28</f>
        <v>0.028</v>
      </c>
      <c r="V24" s="22">
        <f>0.001*30</f>
        <v>0.03</v>
      </c>
      <c r="W24" s="22">
        <f>0.001*32</f>
        <v>0.032</v>
      </c>
      <c r="IU24" s="25"/>
    </row>
    <row r="25" spans="6:255" ht="12">
      <c r="F25" s="22" t="s">
        <v>109</v>
      </c>
      <c r="I25" s="22" t="s">
        <v>109</v>
      </c>
      <c r="O25" s="22">
        <v>12</v>
      </c>
      <c r="Q25" s="22">
        <f>0.001*21</f>
        <v>0.021</v>
      </c>
      <c r="R25" s="22">
        <f>0.001*24</f>
        <v>0.024</v>
      </c>
      <c r="S25" s="22">
        <f>0.001*27</f>
        <v>0.027</v>
      </c>
      <c r="T25" s="22">
        <f>0.001*30</f>
        <v>0.03</v>
      </c>
      <c r="U25" s="22">
        <f>0.001*32</f>
        <v>0.032</v>
      </c>
      <c r="V25" s="22">
        <f>0.001*34</f>
        <v>0.034</v>
      </c>
      <c r="W25" s="22">
        <f>0.001*36</f>
        <v>0.036000000000000004</v>
      </c>
      <c r="IO25" s="25"/>
      <c r="IU25" s="25"/>
    </row>
    <row r="26" spans="15:255" ht="12">
      <c r="O26" s="22">
        <v>16</v>
      </c>
      <c r="Q26" s="22">
        <f>0.001*22</f>
        <v>0.022</v>
      </c>
      <c r="R26" s="22">
        <f>0.001*26</f>
        <v>0.026000000000000002</v>
      </c>
      <c r="S26" s="22">
        <f>0.001*29</f>
        <v>0.029</v>
      </c>
      <c r="T26" s="22">
        <f>0.001*32</f>
        <v>0.032</v>
      </c>
      <c r="U26" s="22">
        <f>0.001*34</f>
        <v>0.034</v>
      </c>
      <c r="V26" s="22">
        <f>0.001*36</f>
        <v>0.036000000000000004</v>
      </c>
      <c r="W26" s="22">
        <f>0.001*38</f>
        <v>0.038</v>
      </c>
      <c r="IO26" s="25"/>
      <c r="IU26" s="25"/>
    </row>
    <row r="27" spans="6:255" ht="12">
      <c r="F27" s="22" t="s">
        <v>109</v>
      </c>
      <c r="I27" s="22" t="s">
        <v>109</v>
      </c>
      <c r="J27" s="22" t="s">
        <v>109</v>
      </c>
      <c r="K27" s="22" t="s">
        <v>109</v>
      </c>
      <c r="O27" s="22">
        <v>20</v>
      </c>
      <c r="Q27" s="22">
        <f>0.001*23</f>
        <v>0.023</v>
      </c>
      <c r="R27" s="22">
        <f>0.001*27</f>
        <v>0.027</v>
      </c>
      <c r="S27" s="22">
        <f>0.001*31</f>
        <v>0.031</v>
      </c>
      <c r="T27" s="22">
        <f>0.001*34</f>
        <v>0.034</v>
      </c>
      <c r="U27" s="22">
        <f>0.001*36</f>
        <v>0.036000000000000004</v>
      </c>
      <c r="V27" s="22">
        <f>0.001*38</f>
        <v>0.038</v>
      </c>
      <c r="W27" s="22">
        <f>0.001*40</f>
        <v>0.04</v>
      </c>
      <c r="IO27" s="25"/>
      <c r="IU27" s="25"/>
    </row>
    <row r="28" spans="6:255" ht="12">
      <c r="F28" s="25" t="s">
        <v>109</v>
      </c>
      <c r="J28" s="22" t="s">
        <v>109</v>
      </c>
      <c r="K28" s="22" t="s">
        <v>109</v>
      </c>
      <c r="O28" s="22">
        <v>50</v>
      </c>
      <c r="Q28" s="22" t="s">
        <v>109</v>
      </c>
      <c r="R28" s="22" t="s">
        <v>109</v>
      </c>
      <c r="S28" s="22" t="s">
        <v>109</v>
      </c>
      <c r="T28" s="22" t="s">
        <v>109</v>
      </c>
      <c r="U28" s="22" t="s">
        <v>109</v>
      </c>
      <c r="V28" s="22" t="s">
        <v>109</v>
      </c>
      <c r="W28" s="22" t="s">
        <v>109</v>
      </c>
      <c r="IO28" s="25"/>
      <c r="IU28" s="25"/>
    </row>
    <row r="29" spans="6:255" ht="12">
      <c r="F29" s="25" t="s">
        <v>109</v>
      </c>
      <c r="J29" s="22" t="s">
        <v>109</v>
      </c>
      <c r="K29" s="22" t="s">
        <v>109</v>
      </c>
      <c r="O29" s="22" t="s">
        <v>109</v>
      </c>
      <c r="P29" s="22" t="s">
        <v>109</v>
      </c>
      <c r="Q29" s="22" t="s">
        <v>109</v>
      </c>
      <c r="R29" s="22" t="s">
        <v>109</v>
      </c>
      <c r="S29" s="22" t="s">
        <v>109</v>
      </c>
      <c r="T29" s="22" t="s">
        <v>109</v>
      </c>
      <c r="U29" s="22" t="s">
        <v>109</v>
      </c>
      <c r="V29" s="22" t="s">
        <v>109</v>
      </c>
      <c r="W29" s="22" t="s">
        <v>109</v>
      </c>
      <c r="X29" s="22" t="s">
        <v>109</v>
      </c>
      <c r="IO29" s="25"/>
      <c r="IU29" s="25"/>
    </row>
    <row r="30" spans="6:255" ht="12">
      <c r="F30" s="25" t="s">
        <v>109</v>
      </c>
      <c r="J30" s="22" t="s">
        <v>109</v>
      </c>
      <c r="K30" s="22" t="s">
        <v>109</v>
      </c>
      <c r="O30" s="22" t="s">
        <v>109</v>
      </c>
      <c r="P30" s="22" t="s">
        <v>109</v>
      </c>
      <c r="Q30" s="22" t="s">
        <v>109</v>
      </c>
      <c r="R30" s="22" t="s">
        <v>109</v>
      </c>
      <c r="S30" s="22" t="s">
        <v>109</v>
      </c>
      <c r="T30" s="22" t="s">
        <v>109</v>
      </c>
      <c r="U30" s="22" t="s">
        <v>109</v>
      </c>
      <c r="V30" s="22" t="s">
        <v>109</v>
      </c>
      <c r="W30" s="22" t="s">
        <v>109</v>
      </c>
      <c r="X30" s="22" t="s">
        <v>109</v>
      </c>
      <c r="IO30" s="25"/>
      <c r="IQ30" s="25"/>
      <c r="IU30" s="25"/>
    </row>
    <row r="31" spans="6:11" ht="12">
      <c r="F31" s="25" t="s">
        <v>109</v>
      </c>
      <c r="I31" s="25"/>
      <c r="J31" s="22" t="s">
        <v>109</v>
      </c>
      <c r="K31" s="22" t="s">
        <v>109</v>
      </c>
    </row>
    <row r="32" spans="6:255" ht="12">
      <c r="F32" s="25" t="s">
        <v>109</v>
      </c>
      <c r="I32" s="25"/>
      <c r="J32" s="22" t="s">
        <v>109</v>
      </c>
      <c r="K32" s="22" t="s">
        <v>109</v>
      </c>
      <c r="P32" s="22" t="s">
        <v>109</v>
      </c>
      <c r="S32" s="22" t="s">
        <v>80</v>
      </c>
      <c r="T32" s="22" t="s">
        <v>81</v>
      </c>
      <c r="IM32" s="29"/>
      <c r="IN32" s="29"/>
      <c r="IO32" s="29"/>
      <c r="IU32" s="25"/>
    </row>
    <row r="33" spans="6:255" ht="12">
      <c r="F33" s="25" t="s">
        <v>109</v>
      </c>
      <c r="I33" s="25"/>
      <c r="J33" s="22" t="s">
        <v>109</v>
      </c>
      <c r="K33" s="22" t="s">
        <v>109</v>
      </c>
      <c r="O33" s="22">
        <v>0</v>
      </c>
      <c r="P33" s="22">
        <v>2</v>
      </c>
      <c r="Q33" s="22">
        <v>4</v>
      </c>
      <c r="R33" s="22">
        <v>6</v>
      </c>
      <c r="S33" s="22">
        <v>8</v>
      </c>
      <c r="T33" s="22">
        <v>10</v>
      </c>
      <c r="U33" s="22">
        <v>12</v>
      </c>
      <c r="V33" s="22">
        <v>14</v>
      </c>
      <c r="W33" s="22">
        <v>16</v>
      </c>
      <c r="X33" s="22">
        <v>20</v>
      </c>
      <c r="IO33" s="25"/>
      <c r="IU33" s="25"/>
    </row>
    <row r="34" spans="6:249" ht="12">
      <c r="F34" s="25" t="s">
        <v>109</v>
      </c>
      <c r="J34" s="22" t="s">
        <v>109</v>
      </c>
      <c r="K34" s="22" t="s">
        <v>109</v>
      </c>
      <c r="O34" s="22">
        <v>0.001</v>
      </c>
      <c r="P34" s="22">
        <v>2</v>
      </c>
      <c r="Q34" s="22">
        <v>2</v>
      </c>
      <c r="R34" s="22">
        <v>3</v>
      </c>
      <c r="S34" s="22">
        <v>4</v>
      </c>
      <c r="T34" s="22">
        <v>5</v>
      </c>
      <c r="U34" s="22">
        <v>6</v>
      </c>
      <c r="V34" s="22">
        <v>7</v>
      </c>
      <c r="W34" s="22">
        <v>8</v>
      </c>
      <c r="X34" s="22">
        <v>8</v>
      </c>
      <c r="IO34" s="25"/>
    </row>
    <row r="35" spans="6:249" ht="12">
      <c r="F35" s="25" t="s">
        <v>109</v>
      </c>
      <c r="I35" s="25"/>
      <c r="J35" s="22" t="s">
        <v>109</v>
      </c>
      <c r="K35" s="22" t="s">
        <v>109</v>
      </c>
      <c r="O35" s="22">
        <v>0.002</v>
      </c>
      <c r="Q35" s="22">
        <f>0.001*2</f>
        <v>0.002</v>
      </c>
      <c r="R35" s="22">
        <f>0.001*2</f>
        <v>0.002</v>
      </c>
      <c r="S35" s="22">
        <f>0.001*2</f>
        <v>0.002</v>
      </c>
      <c r="T35" s="22">
        <f>0.001*2</f>
        <v>0.002</v>
      </c>
      <c r="U35" s="22">
        <f>0.001*3</f>
        <v>0.003</v>
      </c>
      <c r="V35" s="22">
        <f>0.001*3</f>
        <v>0.003</v>
      </c>
      <c r="W35" s="22">
        <f>0.001*4</f>
        <v>0.004</v>
      </c>
      <c r="IO35" s="25"/>
    </row>
    <row r="36" spans="6:249" ht="12">
      <c r="F36" s="25" t="s">
        <v>109</v>
      </c>
      <c r="J36" s="22" t="s">
        <v>109</v>
      </c>
      <c r="K36" s="22" t="s">
        <v>109</v>
      </c>
      <c r="O36" s="22">
        <v>0.023</v>
      </c>
      <c r="Q36" s="22">
        <f>0.001*2</f>
        <v>0.002</v>
      </c>
      <c r="R36" s="22">
        <f>0.001*2</f>
        <v>0.002</v>
      </c>
      <c r="S36" s="22">
        <f>0.001*2</f>
        <v>0.002</v>
      </c>
      <c r="T36" s="22">
        <f>0.001*3</f>
        <v>0.003</v>
      </c>
      <c r="U36" s="22">
        <f>0.001*4</f>
        <v>0.004</v>
      </c>
      <c r="V36" s="22">
        <f>0.001*5</f>
        <v>0.005</v>
      </c>
      <c r="W36" s="22">
        <f>0.001*6</f>
        <v>0.006</v>
      </c>
      <c r="IO36" s="25"/>
    </row>
    <row r="37" spans="6:255" ht="12">
      <c r="F37" s="25" t="s">
        <v>109</v>
      </c>
      <c r="J37" s="22" t="s">
        <v>109</v>
      </c>
      <c r="K37" s="22" t="s">
        <v>109</v>
      </c>
      <c r="O37" s="22">
        <v>0.035</v>
      </c>
      <c r="Q37" s="22">
        <f>0.001*2</f>
        <v>0.002</v>
      </c>
      <c r="R37" s="22">
        <f>0.001*2</f>
        <v>0.002</v>
      </c>
      <c r="S37" s="22">
        <f>0.001*3</f>
        <v>0.003</v>
      </c>
      <c r="T37" s="22">
        <f>0.001*4</f>
        <v>0.004</v>
      </c>
      <c r="U37" s="22">
        <f>0.001*6</f>
        <v>0.006</v>
      </c>
      <c r="V37" s="22">
        <f>0.001*7</f>
        <v>0.007</v>
      </c>
      <c r="W37" s="22">
        <f>0.001*9</f>
        <v>0.009000000000000001</v>
      </c>
      <c r="IO37" s="25"/>
      <c r="IS37" s="29"/>
      <c r="IT37" s="29"/>
      <c r="IU37" s="29"/>
    </row>
    <row r="38" spans="15:255" ht="12">
      <c r="O38" s="22">
        <v>0.051000000000000004</v>
      </c>
      <c r="Q38" s="22">
        <f>0.001*2</f>
        <v>0.002</v>
      </c>
      <c r="R38" s="22">
        <f>0.001*3</f>
        <v>0.003</v>
      </c>
      <c r="S38" s="22">
        <f>0.001*5</f>
        <v>0.005</v>
      </c>
      <c r="T38" s="22">
        <f>0.001*7</f>
        <v>0.007</v>
      </c>
      <c r="U38" s="22">
        <f>0.001*8</f>
        <v>0.008</v>
      </c>
      <c r="V38" s="22">
        <f>0.001*10</f>
        <v>0.01</v>
      </c>
      <c r="W38" s="22">
        <f>0.001*12</f>
        <v>0.012</v>
      </c>
      <c r="IU38" s="25"/>
    </row>
    <row r="39" spans="6:249" ht="12">
      <c r="F39" s="22" t="s">
        <v>109</v>
      </c>
      <c r="I39" s="22" t="s">
        <v>109</v>
      </c>
      <c r="J39" s="22" t="s">
        <v>109</v>
      </c>
      <c r="K39" s="22" t="s">
        <v>109</v>
      </c>
      <c r="O39" s="22">
        <v>0.076</v>
      </c>
      <c r="Q39" s="22">
        <f>0.001*3</f>
        <v>0.003</v>
      </c>
      <c r="R39" s="22">
        <f>0.001*5</f>
        <v>0.005</v>
      </c>
      <c r="S39" s="22">
        <f>0.001*7</f>
        <v>0.007</v>
      </c>
      <c r="T39" s="22">
        <f>0.001*9</f>
        <v>0.009000000000000001</v>
      </c>
      <c r="U39" s="22">
        <f>0.001*12</f>
        <v>0.012</v>
      </c>
      <c r="V39" s="22">
        <f>0.001*15</f>
        <v>0.015</v>
      </c>
      <c r="W39" s="22">
        <f>0.001*18</f>
        <v>0.018000000000000002</v>
      </c>
      <c r="IO39" s="25"/>
    </row>
    <row r="40" spans="7:249" ht="12">
      <c r="G40" s="25">
        <f>VLOOKUP(Design!C11,W228:AM400,HLOOKUP(Design!C10,W228:AM400,1)+1)*850</f>
        <v>0</v>
      </c>
      <c r="O40" s="22">
        <v>0.114</v>
      </c>
      <c r="Q40" s="22">
        <f>0.001*4</f>
        <v>0.004</v>
      </c>
      <c r="R40" s="22">
        <f>0.001*7</f>
        <v>0.007</v>
      </c>
      <c r="S40" s="22">
        <f>0.001*10</f>
        <v>0.01</v>
      </c>
      <c r="T40" s="22">
        <f>0.001*13</f>
        <v>0.013000000000000001</v>
      </c>
      <c r="U40" s="22">
        <f>0.001*18</f>
        <v>0.018000000000000002</v>
      </c>
      <c r="V40" s="22">
        <f>0.001*22</f>
        <v>0.022</v>
      </c>
      <c r="W40" s="22">
        <f>0.001*28</f>
        <v>0.028</v>
      </c>
      <c r="IO40" s="25"/>
    </row>
    <row r="41" spans="15:23" ht="12">
      <c r="O41" s="22">
        <v>0.171</v>
      </c>
      <c r="Q41" s="22">
        <f>0.001*6</f>
        <v>0.006</v>
      </c>
      <c r="R41" s="22">
        <f>0.001*10</f>
        <v>0.01</v>
      </c>
      <c r="S41" s="22">
        <f>0.001*13</f>
        <v>0.013000000000000001</v>
      </c>
      <c r="T41" s="22">
        <f>0.001*20</f>
        <v>0.02</v>
      </c>
      <c r="U41" s="22">
        <f>0.001*27</f>
        <v>0.027</v>
      </c>
      <c r="V41" s="22">
        <f>0.001*34</f>
        <v>0.034</v>
      </c>
      <c r="W41" s="22">
        <f>0.001*42</f>
        <v>0.042</v>
      </c>
    </row>
    <row r="42" spans="15:23" ht="12">
      <c r="O42" s="22">
        <v>0.25</v>
      </c>
      <c r="Q42" s="22">
        <f>0.001*8</f>
        <v>0.008</v>
      </c>
      <c r="R42" s="22">
        <f>0.001*14</f>
        <v>0.014</v>
      </c>
      <c r="S42" s="22">
        <f>0.001*22</f>
        <v>0.022</v>
      </c>
      <c r="T42" s="22">
        <f>0.001*30</f>
        <v>0.03</v>
      </c>
      <c r="U42" s="22">
        <f>0.001*3540</f>
        <v>3.54</v>
      </c>
      <c r="V42" s="22">
        <f>0.001*50</f>
        <v>0.05</v>
      </c>
      <c r="W42" s="22">
        <f>0.001*60</f>
        <v>0.06</v>
      </c>
    </row>
    <row r="43" spans="15:255" ht="12">
      <c r="O43" s="22">
        <v>0.751</v>
      </c>
      <c r="Q43" s="22" t="s">
        <v>109</v>
      </c>
      <c r="R43" s="22" t="s">
        <v>109</v>
      </c>
      <c r="S43" s="22" t="s">
        <v>109</v>
      </c>
      <c r="T43" s="22" t="s">
        <v>109</v>
      </c>
      <c r="U43" s="22" t="s">
        <v>109</v>
      </c>
      <c r="V43" s="22" t="s">
        <v>109</v>
      </c>
      <c r="W43" s="22" t="s">
        <v>109</v>
      </c>
      <c r="X43" s="22" t="s">
        <v>109</v>
      </c>
      <c r="IM43" s="29"/>
      <c r="IN43" s="29"/>
      <c r="IO43" s="29"/>
      <c r="IS43" s="29"/>
      <c r="IT43" s="29"/>
      <c r="IU43" s="29"/>
    </row>
    <row r="44" spans="15:255" ht="12">
      <c r="O44" s="22" t="s">
        <v>109</v>
      </c>
      <c r="P44" s="22" t="s">
        <v>109</v>
      </c>
      <c r="Q44" s="22" t="s">
        <v>109</v>
      </c>
      <c r="R44" s="22" t="s">
        <v>109</v>
      </c>
      <c r="S44" s="22" t="s">
        <v>109</v>
      </c>
      <c r="T44" s="22" t="s">
        <v>109</v>
      </c>
      <c r="U44" s="22" t="s">
        <v>109</v>
      </c>
      <c r="V44" s="22" t="s">
        <v>109</v>
      </c>
      <c r="W44" s="22" t="s">
        <v>109</v>
      </c>
      <c r="X44" s="22" t="s">
        <v>109</v>
      </c>
      <c r="IU44" s="25"/>
    </row>
    <row r="45" spans="6:249" ht="12">
      <c r="F45" s="22" t="s">
        <v>109</v>
      </c>
      <c r="G45" s="22" t="s">
        <v>109</v>
      </c>
      <c r="H45" s="22" t="s">
        <v>109</v>
      </c>
      <c r="I45" s="22" t="s">
        <v>109</v>
      </c>
      <c r="J45" s="22" t="s">
        <v>109</v>
      </c>
      <c r="K45" s="22" t="s">
        <v>109</v>
      </c>
      <c r="IO45" s="25"/>
    </row>
    <row r="46" spans="249:255" ht="12">
      <c r="IO46" s="25"/>
      <c r="IU46" s="25"/>
    </row>
    <row r="48" spans="249:255" ht="12">
      <c r="IO48" s="25"/>
      <c r="IU48" s="25"/>
    </row>
    <row r="49" ht="12">
      <c r="IO49" s="25"/>
    </row>
    <row r="50" spans="249:255" ht="12">
      <c r="IO50" s="25"/>
      <c r="IS50" s="29"/>
      <c r="IT50" s="29"/>
      <c r="IU50" s="29"/>
    </row>
    <row r="51" spans="17:19" ht="12">
      <c r="Q51" s="33">
        <v>1</v>
      </c>
      <c r="R51" s="33">
        <f>Q61</f>
        <v>0</v>
      </c>
      <c r="S51" s="33">
        <f>IF(R51&gt;0,1,0)</f>
        <v>0</v>
      </c>
    </row>
    <row r="52" spans="6:255" ht="12">
      <c r="F52" s="22" t="s">
        <v>109</v>
      </c>
      <c r="I52" s="22" t="s">
        <v>109</v>
      </c>
      <c r="J52" s="22" t="s">
        <v>109</v>
      </c>
      <c r="Q52" s="33">
        <v>2</v>
      </c>
      <c r="R52" s="33">
        <f>R61</f>
        <v>0</v>
      </c>
      <c r="S52" s="33">
        <f>IF(R52&gt;0,2,0)</f>
        <v>0</v>
      </c>
      <c r="IO52" s="25"/>
      <c r="IU52" s="25"/>
    </row>
    <row r="53" spans="10:249" ht="12">
      <c r="J53" s="22" t="s">
        <v>109</v>
      </c>
      <c r="Q53" s="33">
        <v>3</v>
      </c>
      <c r="R53" s="33">
        <f>S61</f>
        <v>0</v>
      </c>
      <c r="S53" s="33">
        <f>IF(R53&gt;0,3,0)</f>
        <v>0</v>
      </c>
      <c r="IO53" s="25"/>
    </row>
    <row r="54" spans="10:255" ht="12">
      <c r="J54" s="22" t="s">
        <v>109</v>
      </c>
      <c r="Q54" s="33"/>
      <c r="R54" s="33"/>
      <c r="S54" s="33">
        <f>SUM(S51:S53)</f>
        <v>0</v>
      </c>
      <c r="IS54" s="29"/>
      <c r="IT54" s="29"/>
      <c r="IU54" s="29"/>
    </row>
    <row r="55" spans="10:255" ht="12">
      <c r="J55" s="22" t="s">
        <v>109</v>
      </c>
      <c r="AM55" s="22" t="s">
        <v>26</v>
      </c>
      <c r="IO55" s="25"/>
      <c r="IU55" s="25"/>
    </row>
    <row r="56" spans="6:255" ht="12">
      <c r="F56" s="25"/>
      <c r="I56" s="25"/>
      <c r="J56" s="22" t="s">
        <v>109</v>
      </c>
      <c r="AM56" s="22" t="s">
        <v>82</v>
      </c>
      <c r="IU56" s="25"/>
    </row>
    <row r="57" spans="6:249" ht="12">
      <c r="F57" s="25"/>
      <c r="I57" s="25"/>
      <c r="J57" s="22" t="s">
        <v>109</v>
      </c>
      <c r="AM57" s="22" t="s">
        <v>83</v>
      </c>
      <c r="IO57" s="25"/>
    </row>
    <row r="58" spans="6:255" ht="12">
      <c r="F58" s="25"/>
      <c r="I58" s="25"/>
      <c r="J58" s="22" t="s">
        <v>109</v>
      </c>
      <c r="IO58" s="25"/>
      <c r="IU58" s="25"/>
    </row>
    <row r="59" spans="6:19" ht="12">
      <c r="F59" s="25"/>
      <c r="I59" s="25"/>
      <c r="J59" s="22" t="s">
        <v>109</v>
      </c>
      <c r="Q59" s="33">
        <v>1</v>
      </c>
      <c r="R59" s="33">
        <v>2</v>
      </c>
      <c r="S59" s="33">
        <v>3</v>
      </c>
    </row>
    <row r="60" spans="10:21" ht="12">
      <c r="J60" s="22" t="s">
        <v>109</v>
      </c>
      <c r="P60" s="22" t="s">
        <v>109</v>
      </c>
      <c r="Q60" s="24" t="s">
        <v>84</v>
      </c>
      <c r="R60" s="24" t="s">
        <v>72</v>
      </c>
      <c r="S60" s="24" t="s">
        <v>64</v>
      </c>
      <c r="U60" s="24" t="s">
        <v>85</v>
      </c>
    </row>
    <row r="61" spans="10:22" ht="12">
      <c r="J61" s="22" t="s">
        <v>109</v>
      </c>
      <c r="O61" s="22" t="s">
        <v>86</v>
      </c>
      <c r="P61" s="22" t="s">
        <v>109</v>
      </c>
      <c r="V61" s="33"/>
    </row>
    <row r="62" spans="6:22" ht="12">
      <c r="F62" s="22" t="s">
        <v>109</v>
      </c>
      <c r="I62" s="22" t="s">
        <v>109</v>
      </c>
      <c r="J62" s="22" t="s">
        <v>109</v>
      </c>
      <c r="O62" s="22" t="s">
        <v>87</v>
      </c>
      <c r="V62" s="33"/>
    </row>
    <row r="63" spans="7:22" ht="12">
      <c r="G63" s="25">
        <f>VLOOKUP(Design!C11,BN228:CD347,HLOOKUP(Design!C10,BN228:CD347,1)+1)*750</f>
        <v>0</v>
      </c>
      <c r="O63" s="22" t="s">
        <v>88</v>
      </c>
      <c r="Q63" s="25"/>
      <c r="R63" s="25"/>
      <c r="S63" s="25"/>
      <c r="U63" s="25"/>
      <c r="V63" s="33"/>
    </row>
    <row r="64" spans="15:22" ht="12">
      <c r="O64" s="22" t="s">
        <v>89</v>
      </c>
      <c r="Q64" s="25">
        <f>Design!C22</f>
        <v>0</v>
      </c>
      <c r="R64" s="25"/>
      <c r="S64" s="25"/>
      <c r="U64" s="25"/>
      <c r="V64" s="33"/>
    </row>
    <row r="65" spans="15:22" ht="12">
      <c r="O65" s="22" t="s">
        <v>90</v>
      </c>
      <c r="Q65" s="36" t="e">
        <f>VLOOKUP(Design!C10,$I$2:$M$21,5)*PI()*(Design!C11/2)^2*$Q$64</f>
        <v>#VALUE!</v>
      </c>
      <c r="R65" s="25"/>
      <c r="S65" s="25"/>
      <c r="U65" s="25"/>
      <c r="V65" s="33"/>
    </row>
    <row r="66" spans="15:22" ht="12">
      <c r="O66" s="22" t="s">
        <v>91</v>
      </c>
      <c r="V66" s="33"/>
    </row>
    <row r="67" spans="15:22" ht="12">
      <c r="O67" s="22" t="s">
        <v>92</v>
      </c>
      <c r="V67" s="33"/>
    </row>
    <row r="68" spans="15:22" ht="12">
      <c r="O68" s="22" t="s">
        <v>93</v>
      </c>
      <c r="V68" s="33"/>
    </row>
    <row r="69" ht="12">
      <c r="O69" s="22" t="s">
        <v>94</v>
      </c>
    </row>
    <row r="70" spans="6:10" ht="12">
      <c r="F70" s="22" t="s">
        <v>109</v>
      </c>
      <c r="I70" s="22" t="s">
        <v>109</v>
      </c>
      <c r="J70" s="22" t="s">
        <v>109</v>
      </c>
    </row>
    <row r="72" ht="12">
      <c r="R72" s="26" t="s">
        <v>39</v>
      </c>
    </row>
    <row r="74" spans="15:24" ht="12">
      <c r="O74" s="25">
        <v>0</v>
      </c>
      <c r="P74" s="25">
        <v>4</v>
      </c>
      <c r="Q74" s="25">
        <v>6</v>
      </c>
      <c r="R74" s="25">
        <v>8</v>
      </c>
      <c r="S74" s="25">
        <v>10</v>
      </c>
      <c r="T74" s="25">
        <v>12</v>
      </c>
      <c r="U74" s="25">
        <v>14</v>
      </c>
      <c r="V74" s="25">
        <v>16</v>
      </c>
      <c r="W74" s="25">
        <v>18</v>
      </c>
      <c r="X74" s="25">
        <v>20</v>
      </c>
    </row>
    <row r="75" spans="15:24" ht="12">
      <c r="O75" s="25">
        <v>0.001</v>
      </c>
      <c r="P75" s="25">
        <v>2</v>
      </c>
      <c r="Q75" s="25">
        <v>2</v>
      </c>
      <c r="R75" s="25">
        <v>3</v>
      </c>
      <c r="S75" s="25">
        <v>4</v>
      </c>
      <c r="T75" s="25">
        <v>5</v>
      </c>
      <c r="U75" s="25">
        <v>6</v>
      </c>
      <c r="V75" s="25">
        <v>7</v>
      </c>
      <c r="W75" s="25">
        <v>8</v>
      </c>
      <c r="X75" s="25">
        <v>8</v>
      </c>
    </row>
    <row r="76" spans="15:24" ht="12">
      <c r="O76" s="25">
        <v>1</v>
      </c>
      <c r="P76" s="25">
        <v>2</v>
      </c>
      <c r="Q76" s="25">
        <v>3</v>
      </c>
      <c r="R76" s="25">
        <v>3.5</v>
      </c>
      <c r="S76" s="25">
        <v>4</v>
      </c>
      <c r="T76" s="25">
        <v>4.5</v>
      </c>
      <c r="U76" s="25">
        <v>5</v>
      </c>
      <c r="V76" s="25">
        <v>5.5</v>
      </c>
      <c r="W76" s="25">
        <v>5.5</v>
      </c>
      <c r="X76" s="25">
        <v>6</v>
      </c>
    </row>
    <row r="77" spans="15:24" ht="12">
      <c r="O77" s="25">
        <v>2</v>
      </c>
      <c r="P77" s="25">
        <v>4</v>
      </c>
      <c r="Q77" s="25">
        <v>5</v>
      </c>
      <c r="R77" s="25">
        <v>6</v>
      </c>
      <c r="S77" s="25">
        <v>7</v>
      </c>
      <c r="T77" s="25">
        <v>8</v>
      </c>
      <c r="U77" s="25">
        <v>8.5</v>
      </c>
      <c r="V77" s="25">
        <v>9</v>
      </c>
      <c r="W77" s="25">
        <v>9.5</v>
      </c>
      <c r="X77" s="25">
        <v>10</v>
      </c>
    </row>
    <row r="78" spans="15:24" ht="12">
      <c r="O78" s="25">
        <v>3</v>
      </c>
      <c r="P78" s="25">
        <v>5.5</v>
      </c>
      <c r="Q78" s="25">
        <v>7</v>
      </c>
      <c r="R78" s="25">
        <v>8</v>
      </c>
      <c r="S78" s="25">
        <v>9.5</v>
      </c>
      <c r="T78" s="25">
        <v>10.5</v>
      </c>
      <c r="U78" s="25">
        <v>11</v>
      </c>
      <c r="V78" s="25">
        <v>12</v>
      </c>
      <c r="W78" s="25">
        <v>13</v>
      </c>
      <c r="X78" s="25">
        <v>14</v>
      </c>
    </row>
    <row r="79" spans="15:24" ht="12">
      <c r="O79" s="25">
        <v>4</v>
      </c>
      <c r="P79" s="25">
        <v>7</v>
      </c>
      <c r="Q79" s="25">
        <v>9</v>
      </c>
      <c r="R79" s="25">
        <v>10</v>
      </c>
      <c r="S79" s="25">
        <v>12</v>
      </c>
      <c r="T79" s="25">
        <v>14</v>
      </c>
      <c r="U79" s="25">
        <v>15</v>
      </c>
      <c r="V79" s="25">
        <v>16</v>
      </c>
      <c r="W79" s="25">
        <v>16.5</v>
      </c>
      <c r="X79" s="25">
        <v>17</v>
      </c>
    </row>
    <row r="80" spans="15:24" ht="12">
      <c r="O80" s="25">
        <v>5</v>
      </c>
      <c r="P80" s="25">
        <v>8</v>
      </c>
      <c r="Q80" s="25">
        <v>10</v>
      </c>
      <c r="R80" s="25">
        <v>12</v>
      </c>
      <c r="S80" s="25">
        <v>14</v>
      </c>
      <c r="T80" s="25">
        <v>16</v>
      </c>
      <c r="U80" s="25">
        <v>18</v>
      </c>
      <c r="V80" s="25">
        <v>20</v>
      </c>
      <c r="W80" s="25">
        <v>20.5</v>
      </c>
      <c r="X80" s="25">
        <v>21</v>
      </c>
    </row>
    <row r="81" spans="15:24" ht="12">
      <c r="O81" s="25">
        <v>6</v>
      </c>
      <c r="P81" s="25">
        <v>9.5</v>
      </c>
      <c r="Q81" s="25">
        <v>12</v>
      </c>
      <c r="R81" s="25">
        <v>14.5</v>
      </c>
      <c r="S81" s="25">
        <v>16</v>
      </c>
      <c r="T81" s="25">
        <v>19</v>
      </c>
      <c r="U81" s="25">
        <v>20.5</v>
      </c>
      <c r="V81" s="25">
        <v>21</v>
      </c>
      <c r="W81" s="25">
        <v>22.5</v>
      </c>
      <c r="X81" s="25">
        <v>24</v>
      </c>
    </row>
    <row r="82" spans="15:24" ht="12">
      <c r="O82" s="25">
        <v>8</v>
      </c>
      <c r="P82" s="25">
        <v>12</v>
      </c>
      <c r="Q82" s="25">
        <v>15</v>
      </c>
      <c r="R82" s="25">
        <v>18</v>
      </c>
      <c r="S82" s="25">
        <v>20.5</v>
      </c>
      <c r="T82" s="25">
        <v>23</v>
      </c>
      <c r="U82" s="25">
        <v>25</v>
      </c>
      <c r="V82" s="25">
        <v>27</v>
      </c>
      <c r="W82" s="25">
        <v>28</v>
      </c>
      <c r="X82" s="25">
        <v>29</v>
      </c>
    </row>
    <row r="83" spans="15:24" ht="12">
      <c r="O83" s="25">
        <v>10</v>
      </c>
      <c r="P83" s="25">
        <v>14</v>
      </c>
      <c r="Q83" s="25">
        <v>19</v>
      </c>
      <c r="R83" s="25">
        <v>21</v>
      </c>
      <c r="S83" s="25">
        <v>24</v>
      </c>
      <c r="T83" s="25">
        <v>27</v>
      </c>
      <c r="U83" s="25">
        <v>29</v>
      </c>
      <c r="V83" s="25">
        <v>31.5</v>
      </c>
      <c r="W83" s="25">
        <v>32.5</v>
      </c>
      <c r="X83" s="25">
        <v>34</v>
      </c>
    </row>
    <row r="84" spans="15:24" ht="12">
      <c r="O84" s="25">
        <v>15</v>
      </c>
      <c r="P84" s="25">
        <v>20</v>
      </c>
      <c r="Q84" s="25">
        <v>25</v>
      </c>
      <c r="R84" s="25">
        <v>28</v>
      </c>
      <c r="S84" s="25">
        <v>31</v>
      </c>
      <c r="T84" s="25">
        <v>34</v>
      </c>
      <c r="U84" s="25">
        <v>36</v>
      </c>
      <c r="V84" s="25">
        <v>38</v>
      </c>
      <c r="W84" s="25">
        <v>40</v>
      </c>
      <c r="X84" s="25">
        <v>42</v>
      </c>
    </row>
    <row r="85" spans="15:24" ht="12">
      <c r="O85" s="25">
        <v>20</v>
      </c>
      <c r="P85" s="25">
        <v>25</v>
      </c>
      <c r="Q85" s="25">
        <v>30</v>
      </c>
      <c r="R85" s="25">
        <v>34</v>
      </c>
      <c r="S85" s="25">
        <v>37</v>
      </c>
      <c r="T85" s="25">
        <v>41</v>
      </c>
      <c r="U85" s="25">
        <v>44</v>
      </c>
      <c r="V85" s="25">
        <v>47</v>
      </c>
      <c r="W85" s="25">
        <v>49</v>
      </c>
      <c r="X85" s="25">
        <v>51</v>
      </c>
    </row>
    <row r="86" spans="15:24" ht="12">
      <c r="O86" s="25">
        <v>25</v>
      </c>
      <c r="P86" s="25">
        <v>29</v>
      </c>
      <c r="Q86" s="25">
        <v>35</v>
      </c>
      <c r="R86" s="25">
        <v>40</v>
      </c>
      <c r="S86" s="25">
        <v>44</v>
      </c>
      <c r="T86" s="25">
        <v>48</v>
      </c>
      <c r="U86" s="25">
        <v>52</v>
      </c>
      <c r="V86" s="25">
        <v>56</v>
      </c>
      <c r="W86" s="25">
        <v>60</v>
      </c>
      <c r="X86" s="25">
        <v>63</v>
      </c>
    </row>
    <row r="87" spans="15:24" ht="12">
      <c r="O87" s="25">
        <v>30</v>
      </c>
      <c r="P87" s="25">
        <v>32</v>
      </c>
      <c r="Q87" s="25">
        <v>38</v>
      </c>
      <c r="R87" s="25">
        <v>44</v>
      </c>
      <c r="S87" s="25">
        <v>50</v>
      </c>
      <c r="T87" s="25">
        <v>55</v>
      </c>
      <c r="U87" s="25">
        <v>60</v>
      </c>
      <c r="V87" s="25">
        <v>65</v>
      </c>
      <c r="W87" s="25">
        <v>68</v>
      </c>
      <c r="X87" s="25">
        <v>70</v>
      </c>
    </row>
    <row r="88" spans="15:24" ht="12">
      <c r="O88" s="25">
        <v>50</v>
      </c>
      <c r="P88" s="25">
        <v>45</v>
      </c>
      <c r="Q88" s="25">
        <v>55</v>
      </c>
      <c r="R88" s="25">
        <v>63</v>
      </c>
      <c r="S88" s="25">
        <v>70</v>
      </c>
      <c r="T88" s="25">
        <v>77</v>
      </c>
      <c r="U88" s="25">
        <v>84</v>
      </c>
      <c r="V88" s="25">
        <v>90</v>
      </c>
      <c r="W88" s="25">
        <v>95</v>
      </c>
      <c r="X88" s="25">
        <v>100</v>
      </c>
    </row>
    <row r="91" spans="15:19" ht="12">
      <c r="O91" s="119" t="s">
        <v>41</v>
      </c>
      <c r="P91" s="119"/>
      <c r="Q91" s="119"/>
      <c r="R91" s="119"/>
      <c r="S91" s="119"/>
    </row>
    <row r="92" spans="15:19" ht="12">
      <c r="O92" s="26" t="s">
        <v>40</v>
      </c>
      <c r="P92" s="25">
        <v>0</v>
      </c>
      <c r="Q92" s="25">
        <v>1</v>
      </c>
      <c r="R92" s="25">
        <v>2</v>
      </c>
      <c r="S92" s="25">
        <v>3</v>
      </c>
    </row>
    <row r="93" spans="15:19" ht="12">
      <c r="O93" s="26" t="s">
        <v>40</v>
      </c>
      <c r="P93" s="25">
        <v>1</v>
      </c>
      <c r="Q93" s="25">
        <v>2</v>
      </c>
      <c r="R93" s="25">
        <v>3</v>
      </c>
      <c r="S93" s="25">
        <v>4</v>
      </c>
    </row>
    <row r="94" spans="15:19" ht="12">
      <c r="O94" s="25">
        <v>0</v>
      </c>
      <c r="P94" s="25">
        <v>3</v>
      </c>
      <c r="Q94" s="25">
        <v>4</v>
      </c>
      <c r="R94" s="25">
        <v>4</v>
      </c>
      <c r="S94" s="25">
        <v>3</v>
      </c>
    </row>
    <row r="95" spans="15:19" ht="12">
      <c r="O95" s="25">
        <v>0.073</v>
      </c>
      <c r="P95" s="25">
        <v>6</v>
      </c>
      <c r="Q95" s="25">
        <v>7</v>
      </c>
      <c r="R95" s="25">
        <v>7</v>
      </c>
      <c r="S95" s="25">
        <v>6</v>
      </c>
    </row>
    <row r="96" spans="15:19" ht="12">
      <c r="O96" s="25">
        <v>0.208</v>
      </c>
      <c r="P96" s="25">
        <v>10</v>
      </c>
      <c r="Q96" s="25">
        <v>11</v>
      </c>
      <c r="R96" s="25">
        <v>11</v>
      </c>
      <c r="S96" s="25">
        <v>10</v>
      </c>
    </row>
    <row r="97" spans="15:19" ht="12">
      <c r="O97" s="25">
        <v>0.407</v>
      </c>
      <c r="P97" s="25">
        <v>13</v>
      </c>
      <c r="Q97" s="25">
        <v>14</v>
      </c>
      <c r="R97" s="25">
        <v>14</v>
      </c>
      <c r="S97" s="25">
        <v>13</v>
      </c>
    </row>
    <row r="98" spans="15:19" ht="12">
      <c r="O98" s="25">
        <v>0.626</v>
      </c>
      <c r="P98" s="25">
        <v>16</v>
      </c>
      <c r="Q98" s="25">
        <v>16</v>
      </c>
      <c r="R98" s="25">
        <v>16</v>
      </c>
      <c r="S98" s="25">
        <v>16</v>
      </c>
    </row>
    <row r="99" ht="12">
      <c r="O99" s="25">
        <v>5</v>
      </c>
    </row>
    <row r="100" ht="12">
      <c r="O100" s="25">
        <v>8</v>
      </c>
    </row>
    <row r="101" ht="12">
      <c r="O101" s="25">
        <v>12</v>
      </c>
    </row>
    <row r="102" ht="12">
      <c r="O102" s="25">
        <v>15</v>
      </c>
    </row>
    <row r="103" ht="12">
      <c r="O103" s="25">
        <v>17</v>
      </c>
    </row>
    <row r="105" ht="12">
      <c r="O105" s="22" t="s">
        <v>42</v>
      </c>
    </row>
    <row r="106" spans="15:16" ht="12">
      <c r="O106" s="25">
        <v>0</v>
      </c>
      <c r="P106" s="25">
        <v>5</v>
      </c>
    </row>
    <row r="107" spans="15:16" ht="12">
      <c r="O107" s="25">
        <v>0.073</v>
      </c>
      <c r="P107" s="25">
        <v>8</v>
      </c>
    </row>
    <row r="108" spans="15:16" ht="12">
      <c r="O108" s="25">
        <v>0.208</v>
      </c>
      <c r="P108" s="25">
        <v>12</v>
      </c>
    </row>
    <row r="109" spans="15:16" ht="12">
      <c r="O109" s="25">
        <v>0.407</v>
      </c>
      <c r="P109" s="25">
        <v>15</v>
      </c>
    </row>
    <row r="110" spans="15:16" ht="12">
      <c r="O110" s="25">
        <v>0.626</v>
      </c>
      <c r="P110" s="25">
        <v>17</v>
      </c>
    </row>
    <row r="112" ht="12">
      <c r="O112" s="22" t="s">
        <v>43</v>
      </c>
    </row>
    <row r="113" spans="15:16" ht="12">
      <c r="O113" s="25">
        <v>0</v>
      </c>
      <c r="P113" s="25">
        <v>5</v>
      </c>
    </row>
    <row r="114" spans="15:16" ht="12">
      <c r="O114" s="25">
        <v>0.073</v>
      </c>
      <c r="P114" s="25">
        <v>9</v>
      </c>
    </row>
    <row r="115" spans="15:16" ht="12">
      <c r="O115" s="25">
        <v>0.208</v>
      </c>
      <c r="P115" s="25">
        <v>12</v>
      </c>
    </row>
    <row r="116" spans="15:16" ht="12">
      <c r="O116" s="25">
        <v>0.407</v>
      </c>
      <c r="P116" s="25">
        <v>15</v>
      </c>
    </row>
    <row r="117" spans="15:16" ht="12">
      <c r="O117" s="25">
        <v>0.626</v>
      </c>
      <c r="P117" s="25">
        <v>17</v>
      </c>
    </row>
    <row r="130" ht="12">
      <c r="A130" s="34"/>
    </row>
    <row r="148" spans="1:4" ht="12">
      <c r="A148" s="22" t="s">
        <v>129</v>
      </c>
      <c r="B148" s="38" t="str">
        <f>VLOOKUP($D$148,$A$151:$R$175,HLOOKUP($D$149,$A$151:$R$175,1)+1)</f>
        <v>d/Code</v>
      </c>
      <c r="C148" s="22" t="s">
        <v>130</v>
      </c>
      <c r="D148" s="22">
        <f>Design!$C$11</f>
        <v>0</v>
      </c>
    </row>
    <row r="149" spans="3:4" ht="12">
      <c r="C149" s="22" t="s">
        <v>131</v>
      </c>
      <c r="D149" s="22">
        <f>Design!$C$10</f>
        <v>0</v>
      </c>
    </row>
    <row r="150" spans="1:10" ht="12">
      <c r="A150" s="22" t="s">
        <v>109</v>
      </c>
      <c r="C150" s="22" t="s">
        <v>109</v>
      </c>
      <c r="D150" s="22" t="s">
        <v>109</v>
      </c>
      <c r="E150" s="22" t="s">
        <v>109</v>
      </c>
      <c r="F150" s="22" t="s">
        <v>109</v>
      </c>
      <c r="G150" s="22" t="s">
        <v>109</v>
      </c>
      <c r="H150" s="22" t="s">
        <v>109</v>
      </c>
      <c r="I150" s="24" t="s">
        <v>98</v>
      </c>
      <c r="J150" s="22" t="s">
        <v>109</v>
      </c>
    </row>
    <row r="151" spans="1:21" ht="12">
      <c r="A151" s="3" t="s">
        <v>158</v>
      </c>
      <c r="B151">
        <v>1</v>
      </c>
      <c r="C151">
        <v>2</v>
      </c>
      <c r="D151">
        <v>3</v>
      </c>
      <c r="E151">
        <v>4</v>
      </c>
      <c r="F151">
        <v>5</v>
      </c>
      <c r="G151">
        <v>6</v>
      </c>
      <c r="H151">
        <v>7</v>
      </c>
      <c r="I151">
        <v>8</v>
      </c>
      <c r="J151">
        <v>9</v>
      </c>
      <c r="K151">
        <v>10</v>
      </c>
      <c r="L151">
        <v>11</v>
      </c>
      <c r="M151">
        <v>12</v>
      </c>
      <c r="N151">
        <v>13</v>
      </c>
      <c r="O151" s="22">
        <v>14</v>
      </c>
      <c r="P151" s="22">
        <v>15</v>
      </c>
      <c r="Q151" s="22">
        <v>16</v>
      </c>
      <c r="R151" s="22">
        <v>17</v>
      </c>
      <c r="S151" s="22">
        <v>18</v>
      </c>
      <c r="T151" s="22">
        <v>19</v>
      </c>
      <c r="U151" s="22">
        <v>20</v>
      </c>
    </row>
    <row r="152" spans="1:21" ht="12">
      <c r="A152">
        <v>0.001</v>
      </c>
      <c r="B152">
        <v>4.2</v>
      </c>
      <c r="C152">
        <v>0</v>
      </c>
      <c r="D152">
        <v>1.25</v>
      </c>
      <c r="E152">
        <v>3.16</v>
      </c>
      <c r="F152">
        <v>3.11</v>
      </c>
      <c r="G152">
        <v>7.56</v>
      </c>
      <c r="H152">
        <v>9.06</v>
      </c>
      <c r="I152">
        <v>7.73</v>
      </c>
      <c r="J152">
        <v>6.21</v>
      </c>
      <c r="K152">
        <v>27</v>
      </c>
      <c r="L152">
        <v>12.52</v>
      </c>
      <c r="M152">
        <v>23</v>
      </c>
      <c r="N152">
        <v>24</v>
      </c>
      <c r="O152" s="35"/>
      <c r="P152" s="35"/>
      <c r="Q152" s="35"/>
      <c r="R152" s="35"/>
      <c r="S152" s="35"/>
      <c r="T152" s="35"/>
      <c r="U152" s="35"/>
    </row>
    <row r="153" spans="1:21" ht="12">
      <c r="A153">
        <v>0.009000000000000001</v>
      </c>
      <c r="B153">
        <v>4.2</v>
      </c>
      <c r="C153">
        <v>0</v>
      </c>
      <c r="D153">
        <v>1.25</v>
      </c>
      <c r="E153">
        <v>3.16</v>
      </c>
      <c r="F153">
        <v>3.11</v>
      </c>
      <c r="G153">
        <v>6.46</v>
      </c>
      <c r="H153">
        <v>6.96</v>
      </c>
      <c r="I153">
        <v>6.55</v>
      </c>
      <c r="J153">
        <v>5.9</v>
      </c>
      <c r="K153">
        <v>27</v>
      </c>
      <c r="L153">
        <v>11.4</v>
      </c>
      <c r="M153">
        <v>23</v>
      </c>
      <c r="N153">
        <v>24</v>
      </c>
      <c r="O153" s="35"/>
      <c r="P153" s="35"/>
      <c r="Q153" s="35"/>
      <c r="R153" s="35"/>
      <c r="S153" s="35"/>
      <c r="T153" s="35"/>
      <c r="U153" s="35"/>
    </row>
    <row r="154" spans="1:21" ht="12">
      <c r="A154">
        <v>0.016</v>
      </c>
      <c r="B154">
        <v>4.2</v>
      </c>
      <c r="C154">
        <v>1.07</v>
      </c>
      <c r="D154">
        <v>1.25</v>
      </c>
      <c r="E154">
        <v>2.71</v>
      </c>
      <c r="F154">
        <v>2.66</v>
      </c>
      <c r="G154">
        <v>4.76</v>
      </c>
      <c r="H154">
        <v>5.96</v>
      </c>
      <c r="I154">
        <v>6.28</v>
      </c>
      <c r="J154">
        <v>5.85</v>
      </c>
      <c r="K154">
        <v>27</v>
      </c>
      <c r="L154">
        <v>9.52</v>
      </c>
      <c r="M154">
        <v>23</v>
      </c>
      <c r="N154">
        <v>24</v>
      </c>
      <c r="O154" s="35"/>
      <c r="P154" s="35"/>
      <c r="Q154" s="35"/>
      <c r="R154" s="35"/>
      <c r="S154" s="35"/>
      <c r="T154" s="35"/>
      <c r="U154" s="35"/>
    </row>
    <row r="155" spans="1:21" ht="12">
      <c r="A155">
        <v>0.028</v>
      </c>
      <c r="B155">
        <v>0.94</v>
      </c>
      <c r="C155">
        <v>0.93</v>
      </c>
      <c r="D155">
        <v>1.2</v>
      </c>
      <c r="E155">
        <v>2.71</v>
      </c>
      <c r="F155">
        <v>2.66</v>
      </c>
      <c r="G155">
        <v>2.95</v>
      </c>
      <c r="H155">
        <v>5.19</v>
      </c>
      <c r="I155">
        <v>6.28</v>
      </c>
      <c r="J155">
        <v>5.85</v>
      </c>
      <c r="K155">
        <v>26</v>
      </c>
      <c r="L155">
        <v>8.25</v>
      </c>
      <c r="M155">
        <v>23</v>
      </c>
      <c r="N155">
        <v>23</v>
      </c>
      <c r="O155" s="35"/>
      <c r="P155" s="35"/>
      <c r="Q155" s="35"/>
      <c r="R155" s="35"/>
      <c r="S155" s="35"/>
      <c r="T155" s="35"/>
      <c r="U155" s="35"/>
    </row>
    <row r="156" spans="1:21" ht="12">
      <c r="A156">
        <v>0.036000000000000004</v>
      </c>
      <c r="B156">
        <v>0.84</v>
      </c>
      <c r="C156">
        <v>0.93</v>
      </c>
      <c r="D156">
        <v>1.15</v>
      </c>
      <c r="E156">
        <v>1.91</v>
      </c>
      <c r="F156">
        <v>1.86</v>
      </c>
      <c r="G156">
        <v>2.95</v>
      </c>
      <c r="H156">
        <v>4.91</v>
      </c>
      <c r="I156">
        <v>5.38</v>
      </c>
      <c r="J156">
        <v>5.8</v>
      </c>
      <c r="K156">
        <v>24</v>
      </c>
      <c r="L156">
        <v>8.2</v>
      </c>
      <c r="M156">
        <v>23</v>
      </c>
      <c r="N156">
        <v>22</v>
      </c>
      <c r="O156" s="35"/>
      <c r="P156" s="35"/>
      <c r="Q156" s="35"/>
      <c r="R156" s="35"/>
      <c r="S156" s="35"/>
      <c r="T156" s="35"/>
      <c r="U156" s="35"/>
    </row>
    <row r="157" spans="1:21" ht="12">
      <c r="A157">
        <v>0.055</v>
      </c>
      <c r="B157">
        <v>0.68</v>
      </c>
      <c r="C157">
        <v>0.93</v>
      </c>
      <c r="D157">
        <v>1.1</v>
      </c>
      <c r="E157">
        <v>1.46</v>
      </c>
      <c r="F157">
        <v>1.41</v>
      </c>
      <c r="G157">
        <v>2.5</v>
      </c>
      <c r="H157">
        <v>4.16</v>
      </c>
      <c r="I157">
        <v>5</v>
      </c>
      <c r="J157">
        <v>5.8</v>
      </c>
      <c r="K157">
        <v>24</v>
      </c>
      <c r="L157">
        <v>8.08</v>
      </c>
      <c r="M157">
        <v>23</v>
      </c>
      <c r="N157">
        <v>22</v>
      </c>
      <c r="O157" s="35"/>
      <c r="P157" s="35"/>
      <c r="Q157" s="35"/>
      <c r="R157" s="35"/>
      <c r="S157" s="35"/>
      <c r="T157" s="35"/>
      <c r="U157" s="35"/>
    </row>
    <row r="158" spans="1:21" ht="12">
      <c r="A158">
        <v>0.075</v>
      </c>
      <c r="B158">
        <v>0.64</v>
      </c>
      <c r="C158">
        <v>0.65</v>
      </c>
      <c r="D158">
        <v>0.76</v>
      </c>
      <c r="E158">
        <v>1.26</v>
      </c>
      <c r="F158">
        <v>1.21</v>
      </c>
      <c r="G158">
        <v>2.5</v>
      </c>
      <c r="H158">
        <v>3.9</v>
      </c>
      <c r="I158">
        <v>4.25</v>
      </c>
      <c r="J158">
        <v>5.75</v>
      </c>
      <c r="K158">
        <v>23</v>
      </c>
      <c r="L158">
        <v>7.15</v>
      </c>
      <c r="M158">
        <v>23</v>
      </c>
      <c r="N158">
        <v>22</v>
      </c>
      <c r="O158" s="35"/>
      <c r="P158" s="35"/>
      <c r="Q158" s="35"/>
      <c r="R158" s="35"/>
      <c r="S158" s="35"/>
      <c r="T158" s="35"/>
      <c r="U158" s="35"/>
    </row>
    <row r="159" spans="1:21" ht="12">
      <c r="A159">
        <v>0.105</v>
      </c>
      <c r="B159">
        <v>0.57</v>
      </c>
      <c r="C159">
        <v>0.53</v>
      </c>
      <c r="D159">
        <v>0.64</v>
      </c>
      <c r="E159">
        <v>1.02</v>
      </c>
      <c r="F159">
        <v>0.98</v>
      </c>
      <c r="G159">
        <v>2</v>
      </c>
      <c r="H159">
        <v>3.74</v>
      </c>
      <c r="I159">
        <v>4.25</v>
      </c>
      <c r="J159">
        <v>5.75</v>
      </c>
      <c r="K159">
        <v>23</v>
      </c>
      <c r="L159">
        <v>7</v>
      </c>
      <c r="M159">
        <v>22</v>
      </c>
      <c r="N159">
        <v>22</v>
      </c>
      <c r="O159" s="35"/>
      <c r="P159" s="35"/>
      <c r="Q159" s="35"/>
      <c r="R159" s="35"/>
      <c r="S159" s="35"/>
      <c r="T159" s="35"/>
      <c r="U159" s="35"/>
    </row>
    <row r="160" spans="1:21" ht="12">
      <c r="A160">
        <v>0.12</v>
      </c>
      <c r="B160">
        <v>0.57</v>
      </c>
      <c r="C160">
        <v>0.51</v>
      </c>
      <c r="D160">
        <v>0.62</v>
      </c>
      <c r="E160">
        <v>0.97</v>
      </c>
      <c r="F160">
        <v>0.94</v>
      </c>
      <c r="G160">
        <v>2</v>
      </c>
      <c r="H160">
        <v>3.71</v>
      </c>
      <c r="I160">
        <v>4.25</v>
      </c>
      <c r="J160">
        <v>5.75</v>
      </c>
      <c r="K160">
        <v>23</v>
      </c>
      <c r="L160">
        <v>6.95</v>
      </c>
      <c r="M160">
        <v>22</v>
      </c>
      <c r="N160">
        <v>22</v>
      </c>
      <c r="O160" s="35"/>
      <c r="P160" s="35"/>
      <c r="Q160" s="35"/>
      <c r="R160" s="35"/>
      <c r="S160" s="35"/>
      <c r="T160" s="35"/>
      <c r="U160" s="35"/>
    </row>
    <row r="161" spans="1:21" ht="12">
      <c r="A161">
        <v>0.126</v>
      </c>
      <c r="B161">
        <v>0.57</v>
      </c>
      <c r="C161">
        <v>0.51</v>
      </c>
      <c r="D161">
        <v>0.62</v>
      </c>
      <c r="E161">
        <v>0.97</v>
      </c>
      <c r="F161">
        <v>0.94</v>
      </c>
      <c r="G161">
        <v>2</v>
      </c>
      <c r="H161">
        <v>3.71</v>
      </c>
      <c r="I161">
        <v>4.25</v>
      </c>
      <c r="J161">
        <v>5.6</v>
      </c>
      <c r="K161">
        <v>23</v>
      </c>
      <c r="L161">
        <v>6.85</v>
      </c>
      <c r="M161">
        <v>22</v>
      </c>
      <c r="N161">
        <v>25</v>
      </c>
      <c r="O161" s="35"/>
      <c r="P161" s="35"/>
      <c r="Q161" s="35"/>
      <c r="R161" s="35"/>
      <c r="S161" s="35"/>
      <c r="T161" s="35"/>
      <c r="U161" s="35"/>
    </row>
    <row r="162" spans="1:21" ht="12">
      <c r="A162">
        <v>0.135</v>
      </c>
      <c r="B162">
        <v>0.57</v>
      </c>
      <c r="C162">
        <v>0.36</v>
      </c>
      <c r="D162">
        <v>0.5</v>
      </c>
      <c r="E162">
        <v>0.92</v>
      </c>
      <c r="F162">
        <v>0.89</v>
      </c>
      <c r="G162">
        <v>2</v>
      </c>
      <c r="H162">
        <v>3.64</v>
      </c>
      <c r="I162">
        <v>4.25</v>
      </c>
      <c r="J162">
        <v>5.6</v>
      </c>
      <c r="K162">
        <v>23</v>
      </c>
      <c r="L162">
        <v>6.75</v>
      </c>
      <c r="M162">
        <v>22</v>
      </c>
      <c r="N162">
        <v>25</v>
      </c>
      <c r="O162" s="35"/>
      <c r="P162" s="35"/>
      <c r="Q162" s="35"/>
      <c r="R162" s="35"/>
      <c r="S162" s="35"/>
      <c r="T162" s="35"/>
      <c r="U162" s="35"/>
    </row>
    <row r="163" spans="1:21" ht="12">
      <c r="A163">
        <v>0.162</v>
      </c>
      <c r="B163">
        <v>0.57</v>
      </c>
      <c r="C163">
        <v>0.34</v>
      </c>
      <c r="D163">
        <v>0.45</v>
      </c>
      <c r="E163">
        <v>0.89</v>
      </c>
      <c r="F163">
        <v>0.86</v>
      </c>
      <c r="G163">
        <v>2</v>
      </c>
      <c r="H163">
        <v>3.62</v>
      </c>
      <c r="I163">
        <v>4</v>
      </c>
      <c r="J163">
        <v>5.6</v>
      </c>
      <c r="K163">
        <v>23</v>
      </c>
      <c r="L163">
        <v>6.75</v>
      </c>
      <c r="M163">
        <v>22</v>
      </c>
      <c r="N163">
        <v>26</v>
      </c>
      <c r="O163" s="35"/>
      <c r="P163" s="35"/>
      <c r="Q163" s="35"/>
      <c r="R163" s="35"/>
      <c r="S163" s="35"/>
      <c r="T163" s="35"/>
      <c r="U163" s="35"/>
    </row>
    <row r="164" spans="1:21" ht="12">
      <c r="A164">
        <v>0.192</v>
      </c>
      <c r="B164">
        <v>0.57</v>
      </c>
      <c r="C164">
        <v>0.34</v>
      </c>
      <c r="D164">
        <v>0.45</v>
      </c>
      <c r="E164">
        <v>0.89</v>
      </c>
      <c r="F164">
        <v>0.86</v>
      </c>
      <c r="G164">
        <v>2</v>
      </c>
      <c r="H164">
        <v>3.67</v>
      </c>
      <c r="I164">
        <v>3.5</v>
      </c>
      <c r="J164">
        <v>5.6</v>
      </c>
      <c r="K164">
        <v>23</v>
      </c>
      <c r="L164">
        <v>6.55</v>
      </c>
      <c r="M164">
        <v>22</v>
      </c>
      <c r="N164">
        <v>26</v>
      </c>
      <c r="O164" s="35"/>
      <c r="P164" s="35"/>
      <c r="Q164" s="35"/>
      <c r="R164" s="35"/>
      <c r="S164" s="35"/>
      <c r="T164" s="35"/>
      <c r="U164" s="35"/>
    </row>
    <row r="165" spans="1:21" ht="12">
      <c r="A165">
        <v>0.20700000000000002</v>
      </c>
      <c r="B165">
        <v>0.58</v>
      </c>
      <c r="C165">
        <v>0.36</v>
      </c>
      <c r="D165">
        <v>0.45</v>
      </c>
      <c r="E165">
        <v>0.89</v>
      </c>
      <c r="F165">
        <v>0.86</v>
      </c>
      <c r="G165">
        <v>2</v>
      </c>
      <c r="H165">
        <v>3.74</v>
      </c>
      <c r="I165">
        <v>3.25</v>
      </c>
      <c r="J165">
        <v>5.6</v>
      </c>
      <c r="K165">
        <v>23</v>
      </c>
      <c r="L165">
        <v>6.55</v>
      </c>
      <c r="M165">
        <v>22</v>
      </c>
      <c r="N165">
        <v>26</v>
      </c>
      <c r="O165" s="35"/>
      <c r="P165" s="35"/>
      <c r="Q165" s="35"/>
      <c r="R165" s="35"/>
      <c r="S165" s="35"/>
      <c r="T165" s="35"/>
      <c r="U165" s="35"/>
    </row>
    <row r="166" spans="1:21" ht="12">
      <c r="A166">
        <v>0.225</v>
      </c>
      <c r="B166">
        <v>0.58</v>
      </c>
      <c r="C166">
        <v>0.36</v>
      </c>
      <c r="D166">
        <v>0.45</v>
      </c>
      <c r="E166">
        <v>0.89</v>
      </c>
      <c r="F166">
        <v>0.86</v>
      </c>
      <c r="G166">
        <v>2</v>
      </c>
      <c r="H166">
        <v>3.74</v>
      </c>
      <c r="I166">
        <v>3.1</v>
      </c>
      <c r="J166">
        <v>5</v>
      </c>
      <c r="K166">
        <v>23</v>
      </c>
      <c r="L166">
        <v>6.55</v>
      </c>
      <c r="M166">
        <v>22</v>
      </c>
      <c r="N166">
        <v>26</v>
      </c>
      <c r="O166" s="35"/>
      <c r="P166" s="35"/>
      <c r="Q166" s="35"/>
      <c r="R166" s="35"/>
      <c r="S166" s="35"/>
      <c r="T166" s="35"/>
      <c r="U166" s="35"/>
    </row>
    <row r="167" spans="1:21" ht="12">
      <c r="A167">
        <v>0.25</v>
      </c>
      <c r="B167">
        <v>0.58</v>
      </c>
      <c r="C167">
        <v>0.36</v>
      </c>
      <c r="D167">
        <v>0.45</v>
      </c>
      <c r="E167">
        <v>0.87</v>
      </c>
      <c r="F167">
        <v>0.84</v>
      </c>
      <c r="G167">
        <v>2</v>
      </c>
      <c r="H167">
        <v>3.88</v>
      </c>
      <c r="I167">
        <v>3.1</v>
      </c>
      <c r="J167">
        <v>5</v>
      </c>
      <c r="K167">
        <v>23</v>
      </c>
      <c r="L167">
        <v>6.55</v>
      </c>
      <c r="M167">
        <v>21</v>
      </c>
      <c r="N167">
        <v>26</v>
      </c>
      <c r="O167" s="35"/>
      <c r="P167" s="35"/>
      <c r="Q167" s="35"/>
      <c r="R167" s="35"/>
      <c r="S167" s="35"/>
      <c r="T167" s="35"/>
      <c r="U167" s="35"/>
    </row>
    <row r="168" spans="1:21" ht="12">
      <c r="A168">
        <v>0.312</v>
      </c>
      <c r="B168">
        <v>0</v>
      </c>
      <c r="C168">
        <v>0.36</v>
      </c>
      <c r="D168">
        <v>0.45</v>
      </c>
      <c r="E168">
        <v>0.84</v>
      </c>
      <c r="F168">
        <v>0.76</v>
      </c>
      <c r="G168">
        <v>2</v>
      </c>
      <c r="H168">
        <v>3.88</v>
      </c>
      <c r="I168">
        <v>3.15</v>
      </c>
      <c r="J168">
        <v>4.9</v>
      </c>
      <c r="K168">
        <v>23</v>
      </c>
      <c r="L168">
        <v>6.55</v>
      </c>
      <c r="M168">
        <v>21</v>
      </c>
      <c r="N168">
        <v>25</v>
      </c>
      <c r="O168" s="35"/>
      <c r="P168" s="35"/>
      <c r="Q168" s="35"/>
      <c r="R168" s="35"/>
      <c r="S168" s="35"/>
      <c r="T168" s="35"/>
      <c r="U168" s="35"/>
    </row>
    <row r="169" spans="1:21" ht="12">
      <c r="A169">
        <v>0.375</v>
      </c>
      <c r="B169">
        <v>0</v>
      </c>
      <c r="C169">
        <v>0.36</v>
      </c>
      <c r="D169">
        <v>0.45</v>
      </c>
      <c r="E169">
        <v>0.84</v>
      </c>
      <c r="F169">
        <v>0.76</v>
      </c>
      <c r="G169">
        <v>2</v>
      </c>
      <c r="H169">
        <v>4.1</v>
      </c>
      <c r="I169">
        <v>3.15</v>
      </c>
      <c r="J169">
        <v>4.9</v>
      </c>
      <c r="K169">
        <v>23</v>
      </c>
      <c r="L169">
        <v>7.12</v>
      </c>
      <c r="M169">
        <v>21</v>
      </c>
      <c r="N169">
        <v>25</v>
      </c>
      <c r="O169" s="35"/>
      <c r="P169" s="35"/>
      <c r="Q169" s="35"/>
      <c r="R169" s="35"/>
      <c r="S169" s="35"/>
      <c r="T169" s="35"/>
      <c r="U169" s="35"/>
    </row>
    <row r="170" spans="1:21" ht="12">
      <c r="A170">
        <v>0.437</v>
      </c>
      <c r="B170">
        <v>0</v>
      </c>
      <c r="C170">
        <v>0.39</v>
      </c>
      <c r="D170">
        <v>0.46</v>
      </c>
      <c r="E170">
        <v>0.84</v>
      </c>
      <c r="F170">
        <v>0.76</v>
      </c>
      <c r="G170">
        <v>1.9</v>
      </c>
      <c r="H170">
        <v>4.1</v>
      </c>
      <c r="I170">
        <v>3.15</v>
      </c>
      <c r="J170">
        <v>4.85</v>
      </c>
      <c r="K170">
        <v>23</v>
      </c>
      <c r="L170">
        <v>7.12</v>
      </c>
      <c r="M170">
        <v>21</v>
      </c>
      <c r="N170">
        <v>25</v>
      </c>
      <c r="O170" s="35"/>
      <c r="P170" s="35"/>
      <c r="Q170" s="35"/>
      <c r="R170" s="35"/>
      <c r="S170" s="35"/>
      <c r="T170" s="35"/>
      <c r="U170" s="35"/>
    </row>
    <row r="171" spans="1:21" ht="12">
      <c r="A171">
        <v>0.5</v>
      </c>
      <c r="B171">
        <v>0</v>
      </c>
      <c r="C171">
        <v>0.39</v>
      </c>
      <c r="D171">
        <v>0.47</v>
      </c>
      <c r="E171">
        <v>0.84</v>
      </c>
      <c r="F171">
        <v>0.76</v>
      </c>
      <c r="G171">
        <v>2</v>
      </c>
      <c r="H171">
        <v>4.1</v>
      </c>
      <c r="I171">
        <v>3.25</v>
      </c>
      <c r="J171">
        <v>4.5</v>
      </c>
      <c r="K171">
        <v>24</v>
      </c>
      <c r="L171">
        <v>8.4</v>
      </c>
      <c r="M171">
        <v>21</v>
      </c>
      <c r="N171">
        <v>25</v>
      </c>
      <c r="O171" s="35"/>
      <c r="P171" s="35"/>
      <c r="Q171" s="35"/>
      <c r="R171" s="35"/>
      <c r="S171" s="35"/>
      <c r="T171" s="35"/>
      <c r="U171" s="35"/>
    </row>
    <row r="172" spans="1:21" ht="12">
      <c r="A172">
        <v>0.531</v>
      </c>
      <c r="B172">
        <v>0</v>
      </c>
      <c r="C172">
        <v>0.39</v>
      </c>
      <c r="D172">
        <v>0.47</v>
      </c>
      <c r="E172">
        <v>0.84</v>
      </c>
      <c r="F172">
        <v>0.76</v>
      </c>
      <c r="G172">
        <v>2.1</v>
      </c>
      <c r="H172">
        <v>4.1</v>
      </c>
      <c r="I172">
        <v>3.25</v>
      </c>
      <c r="J172">
        <v>4.5</v>
      </c>
      <c r="K172">
        <v>24</v>
      </c>
      <c r="L172">
        <v>8.4</v>
      </c>
      <c r="M172">
        <v>21</v>
      </c>
      <c r="N172">
        <v>25</v>
      </c>
      <c r="O172" s="35"/>
      <c r="P172" s="35"/>
      <c r="Q172" s="35"/>
      <c r="R172" s="35"/>
      <c r="S172" s="35"/>
      <c r="T172" s="35"/>
      <c r="U172" s="35"/>
    </row>
    <row r="173" spans="1:21" ht="12">
      <c r="A173">
        <v>0.562</v>
      </c>
      <c r="B173">
        <v>0</v>
      </c>
      <c r="C173"/>
      <c r="D173">
        <v>0.43</v>
      </c>
      <c r="E173">
        <v>0.85</v>
      </c>
      <c r="F173">
        <v>0.85</v>
      </c>
      <c r="G173">
        <v>2.2</v>
      </c>
      <c r="H173">
        <v>3.94</v>
      </c>
      <c r="I173">
        <v>3</v>
      </c>
      <c r="J173"/>
      <c r="K173"/>
      <c r="L173"/>
      <c r="M173">
        <v>14.85</v>
      </c>
      <c r="N173">
        <v>19.71</v>
      </c>
      <c r="O173" s="35"/>
      <c r="P173" s="35"/>
      <c r="Q173" s="35"/>
      <c r="R173" s="35"/>
      <c r="S173" s="35"/>
      <c r="T173" s="35"/>
      <c r="U173" s="35"/>
    </row>
    <row r="174" spans="1:21" ht="12">
      <c r="A174">
        <v>0.625</v>
      </c>
      <c r="B174">
        <v>0</v>
      </c>
      <c r="C174">
        <v>0</v>
      </c>
      <c r="D174">
        <v>0.43</v>
      </c>
      <c r="E174">
        <v>0.85</v>
      </c>
      <c r="F174">
        <v>0.85</v>
      </c>
      <c r="G174">
        <v>2.2</v>
      </c>
      <c r="H174">
        <v>3.94</v>
      </c>
      <c r="I174">
        <v>3</v>
      </c>
      <c r="J174">
        <v>0</v>
      </c>
      <c r="K174">
        <v>21</v>
      </c>
      <c r="L174">
        <v>8.35</v>
      </c>
      <c r="M174">
        <v>14.85</v>
      </c>
      <c r="N174">
        <v>19.71</v>
      </c>
      <c r="O174" s="35"/>
      <c r="P174" s="35"/>
      <c r="Q174" s="35"/>
      <c r="R174" s="35"/>
      <c r="S174" s="35"/>
      <c r="T174" s="35"/>
      <c r="U174" s="35"/>
    </row>
    <row r="175" spans="1:21" ht="12">
      <c r="A175">
        <v>0.75</v>
      </c>
      <c r="B175">
        <v>0</v>
      </c>
      <c r="C175"/>
      <c r="D175"/>
      <c r="E175">
        <v>0.85</v>
      </c>
      <c r="F175"/>
      <c r="G175"/>
      <c r="H175"/>
      <c r="I175"/>
      <c r="J175"/>
      <c r="K175"/>
      <c r="L175"/>
      <c r="M175">
        <v>14.85</v>
      </c>
      <c r="N175">
        <v>19.71</v>
      </c>
      <c r="O175" s="35"/>
      <c r="P175" s="35"/>
      <c r="Q175" s="35"/>
      <c r="R175" s="35"/>
      <c r="S175" s="35"/>
      <c r="T175" s="35"/>
      <c r="U175" s="35"/>
    </row>
    <row r="176" ht="12">
      <c r="N176" s="22">
        <v>0</v>
      </c>
    </row>
    <row r="180" spans="1:4" ht="12">
      <c r="A180" s="120" t="s">
        <v>208</v>
      </c>
      <c r="B180" s="120"/>
      <c r="C180" s="120"/>
      <c r="D180" s="120"/>
    </row>
    <row r="181" spans="2:4" ht="12">
      <c r="B181" s="93">
        <v>0</v>
      </c>
      <c r="C181" s="93">
        <v>9</v>
      </c>
      <c r="D181" s="93">
        <v>15</v>
      </c>
    </row>
    <row r="182" spans="1:4" ht="12">
      <c r="A182" s="94">
        <v>0</v>
      </c>
      <c r="B182" s="37" t="s">
        <v>209</v>
      </c>
      <c r="C182" s="37" t="s">
        <v>209</v>
      </c>
      <c r="D182" s="37" t="s">
        <v>209</v>
      </c>
    </row>
    <row r="183" spans="1:4" ht="12">
      <c r="A183" s="94">
        <v>0.026</v>
      </c>
      <c r="B183" s="95">
        <v>0.003</v>
      </c>
      <c r="C183" s="95">
        <v>0.004</v>
      </c>
      <c r="D183" s="95">
        <v>0.006</v>
      </c>
    </row>
    <row r="184" spans="1:4" ht="12">
      <c r="A184" s="94">
        <v>0.04</v>
      </c>
      <c r="B184" s="95">
        <v>0.003</v>
      </c>
      <c r="C184" s="95">
        <v>0.004</v>
      </c>
      <c r="D184" s="95">
        <v>0.006</v>
      </c>
    </row>
    <row r="185" spans="1:4" ht="12">
      <c r="A185" s="94">
        <v>0.064</v>
      </c>
      <c r="B185" s="95">
        <v>0.004</v>
      </c>
      <c r="C185" s="95">
        <v>0.006</v>
      </c>
      <c r="D185" s="95">
        <v>0.008</v>
      </c>
    </row>
    <row r="186" spans="1:4" ht="12">
      <c r="A186" s="94">
        <v>0.099</v>
      </c>
      <c r="B186" s="95">
        <v>0.006</v>
      </c>
      <c r="C186" s="95">
        <v>0.008</v>
      </c>
      <c r="D186" s="95">
        <v>0.01</v>
      </c>
    </row>
    <row r="187" spans="1:4" ht="12">
      <c r="A187" s="94">
        <v>0.158</v>
      </c>
      <c r="B187" s="95">
        <v>0.008</v>
      </c>
      <c r="C187" s="95">
        <v>0.01</v>
      </c>
      <c r="D187" s="95">
        <v>0.012</v>
      </c>
    </row>
    <row r="188" spans="1:4" ht="12">
      <c r="A188" s="94">
        <v>0.249</v>
      </c>
      <c r="B188" s="95">
        <v>0.01</v>
      </c>
      <c r="C188" s="95">
        <v>0.012</v>
      </c>
      <c r="D188" s="95">
        <v>0.014</v>
      </c>
    </row>
    <row r="189" spans="1:4" ht="12">
      <c r="A189" s="94">
        <v>0.395</v>
      </c>
      <c r="B189" s="95">
        <v>0.012</v>
      </c>
      <c r="C189" s="95">
        <v>0.014</v>
      </c>
      <c r="D189" s="95">
        <v>0.016</v>
      </c>
    </row>
    <row r="190" spans="1:4" ht="12">
      <c r="A190" s="94">
        <v>0.631</v>
      </c>
      <c r="B190" s="95">
        <v>0.014</v>
      </c>
      <c r="C190" s="95">
        <v>0.018</v>
      </c>
      <c r="D190" s="95">
        <v>0.02</v>
      </c>
    </row>
    <row r="191" spans="1:4" ht="12">
      <c r="A191" s="94">
        <v>0.985</v>
      </c>
      <c r="B191" s="95">
        <v>0.016</v>
      </c>
      <c r="C191" s="95">
        <v>0.02</v>
      </c>
      <c r="D191" s="95">
        <v>0.024</v>
      </c>
    </row>
    <row r="192" spans="1:4" ht="12">
      <c r="A192" s="94">
        <v>1.241</v>
      </c>
      <c r="B192" s="95">
        <v>0.02</v>
      </c>
      <c r="C192" s="95">
        <v>0.024</v>
      </c>
      <c r="D192" s="95">
        <v>0.028</v>
      </c>
    </row>
    <row r="193" spans="1:4" ht="12">
      <c r="A193" s="94">
        <v>1.576</v>
      </c>
      <c r="B193" s="95">
        <v>0.024</v>
      </c>
      <c r="C193" s="95">
        <v>0.031</v>
      </c>
      <c r="D193" s="95">
        <v>0.035</v>
      </c>
    </row>
    <row r="194" spans="1:4" ht="12">
      <c r="A194" s="94">
        <v>1.97</v>
      </c>
      <c r="B194" s="95">
        <v>0.031</v>
      </c>
      <c r="C194" s="95">
        <v>0.039</v>
      </c>
      <c r="D194" s="95">
        <v>0.043</v>
      </c>
    </row>
    <row r="195" spans="1:4" ht="12">
      <c r="A195" s="94">
        <v>2.481</v>
      </c>
      <c r="B195" s="95">
        <v>0.039</v>
      </c>
      <c r="C195" s="95">
        <v>0.047</v>
      </c>
      <c r="D195" s="95">
        <v>0.055</v>
      </c>
    </row>
    <row r="196" spans="1:4" ht="12">
      <c r="A196" s="94">
        <v>3.151</v>
      </c>
      <c r="B196" s="95">
        <v>0.047</v>
      </c>
      <c r="C196" s="95">
        <v>0.059</v>
      </c>
      <c r="D196" s="95">
        <v>0.067</v>
      </c>
    </row>
    <row r="197" spans="1:4" ht="12">
      <c r="A197" s="94">
        <v>3.938</v>
      </c>
      <c r="B197" s="95">
        <v>0.055</v>
      </c>
      <c r="C197" s="95">
        <v>0.075</v>
      </c>
      <c r="D197" s="95">
        <v>0.087</v>
      </c>
    </row>
    <row r="198" spans="1:4" ht="12">
      <c r="A198" s="94">
        <v>4.922</v>
      </c>
      <c r="B198" s="95">
        <v>0.071</v>
      </c>
      <c r="C198" s="95">
        <v>0.09</v>
      </c>
      <c r="D198" s="95">
        <v>0.106</v>
      </c>
    </row>
    <row r="199" spans="1:4" ht="12">
      <c r="A199" s="94">
        <v>6.301</v>
      </c>
      <c r="B199" s="95">
        <v>0.083</v>
      </c>
      <c r="C199" s="95">
        <v>0.114</v>
      </c>
      <c r="D199" s="95">
        <v>0.13</v>
      </c>
    </row>
    <row r="200" spans="1:4" ht="12">
      <c r="A200" s="94">
        <v>7.875</v>
      </c>
      <c r="B200" s="37" t="s">
        <v>209</v>
      </c>
      <c r="C200" s="37" t="s">
        <v>209</v>
      </c>
      <c r="D200" s="37" t="s">
        <v>209</v>
      </c>
    </row>
    <row r="201" spans="1:4" ht="15">
      <c r="A201" s="96"/>
      <c r="B201" s="96"/>
      <c r="C201" s="96"/>
      <c r="D201" s="96"/>
    </row>
    <row r="202" spans="1:4" ht="15">
      <c r="A202" s="96" t="s">
        <v>210</v>
      </c>
      <c r="B202" s="97">
        <f>Design!C12</f>
        <v>0</v>
      </c>
      <c r="C202" s="96" t="str">
        <f>VLOOKUP(B202,A182:D200,(MATCH(B203,B181:D181))+1)</f>
        <v>N/A</v>
      </c>
      <c r="D202" s="96"/>
    </row>
    <row r="203" spans="1:4" ht="15">
      <c r="A203" s="96" t="s">
        <v>211</v>
      </c>
      <c r="B203" s="98">
        <f>ROUND(Design!E11,0)</f>
        <v>0</v>
      </c>
      <c r="C203" s="96"/>
      <c r="D203" s="96"/>
    </row>
    <row r="225" ht="12">
      <c r="BS225" s="22" t="s">
        <v>99</v>
      </c>
    </row>
    <row r="227" spans="24:79" ht="12">
      <c r="X227" s="31" t="s">
        <v>100</v>
      </c>
      <c r="Y227" s="31" t="s">
        <v>132</v>
      </c>
      <c r="Z227" s="31" t="s">
        <v>133</v>
      </c>
      <c r="AA227" s="31" t="s">
        <v>134</v>
      </c>
      <c r="AB227" s="31" t="s">
        <v>135</v>
      </c>
      <c r="AC227" s="31" t="s">
        <v>136</v>
      </c>
      <c r="AD227" s="31" t="s">
        <v>137</v>
      </c>
      <c r="AE227" s="31" t="s">
        <v>138</v>
      </c>
      <c r="AF227" s="31" t="s">
        <v>139</v>
      </c>
      <c r="AG227" s="31" t="s">
        <v>140</v>
      </c>
      <c r="AH227" s="31" t="s">
        <v>141</v>
      </c>
      <c r="AI227" s="31" t="s">
        <v>142</v>
      </c>
      <c r="AJ227" s="31" t="s">
        <v>143</v>
      </c>
      <c r="BO227" s="31" t="s">
        <v>100</v>
      </c>
      <c r="BP227" s="31" t="s">
        <v>132</v>
      </c>
      <c r="BQ227" s="31" t="s">
        <v>133</v>
      </c>
      <c r="BR227" s="31" t="s">
        <v>134</v>
      </c>
      <c r="BS227" s="31" t="s">
        <v>135</v>
      </c>
      <c r="BT227" s="31" t="s">
        <v>136</v>
      </c>
      <c r="BU227" s="31" t="s">
        <v>137</v>
      </c>
      <c r="BV227" s="31" t="s">
        <v>138</v>
      </c>
      <c r="BW227" s="31" t="s">
        <v>139</v>
      </c>
      <c r="BX227" s="31" t="s">
        <v>140</v>
      </c>
      <c r="BY227" s="31" t="s">
        <v>141</v>
      </c>
      <c r="BZ227" s="31" t="s">
        <v>142</v>
      </c>
      <c r="CA227" s="31" t="s">
        <v>143</v>
      </c>
    </row>
    <row r="228" spans="24:82" ht="12">
      <c r="X228" s="22">
        <v>1</v>
      </c>
      <c r="Y228" s="22">
        <v>2</v>
      </c>
      <c r="Z228" s="22">
        <v>3</v>
      </c>
      <c r="AA228" s="22">
        <v>4</v>
      </c>
      <c r="AB228" s="22">
        <v>5</v>
      </c>
      <c r="AC228" s="22">
        <v>6</v>
      </c>
      <c r="AD228" s="22">
        <v>7</v>
      </c>
      <c r="AE228" s="22">
        <v>8</v>
      </c>
      <c r="AF228" s="22">
        <v>9</v>
      </c>
      <c r="AG228" s="22">
        <v>10</v>
      </c>
      <c r="AH228" s="22">
        <v>11</v>
      </c>
      <c r="AI228" s="22">
        <v>12</v>
      </c>
      <c r="AJ228" s="22">
        <v>13</v>
      </c>
      <c r="AK228" s="22">
        <v>14</v>
      </c>
      <c r="AL228" s="22">
        <v>15</v>
      </c>
      <c r="AM228" s="22">
        <v>16</v>
      </c>
      <c r="BO228" s="25">
        <v>1</v>
      </c>
      <c r="BP228" s="25">
        <v>2</v>
      </c>
      <c r="BQ228" s="25">
        <v>3</v>
      </c>
      <c r="BR228" s="25">
        <v>4</v>
      </c>
      <c r="BS228" s="25">
        <v>5</v>
      </c>
      <c r="BT228" s="25">
        <v>6</v>
      </c>
      <c r="BU228" s="25">
        <v>7</v>
      </c>
      <c r="BV228" s="25">
        <v>8</v>
      </c>
      <c r="BW228" s="25">
        <v>9</v>
      </c>
      <c r="BX228" s="25">
        <v>10</v>
      </c>
      <c r="BY228" s="25">
        <v>11</v>
      </c>
      <c r="BZ228" s="25">
        <v>12</v>
      </c>
      <c r="CA228" s="25">
        <v>13</v>
      </c>
      <c r="CB228" s="25">
        <v>14</v>
      </c>
      <c r="CC228" s="25">
        <v>15</v>
      </c>
      <c r="CD228" s="25">
        <v>16</v>
      </c>
    </row>
    <row r="229" spans="23:80" ht="12">
      <c r="W229" s="22">
        <v>0.008</v>
      </c>
      <c r="X229" s="22">
        <v>179.55</v>
      </c>
      <c r="Y229" s="22">
        <v>122.8</v>
      </c>
      <c r="Z229" s="22">
        <v>141.75</v>
      </c>
      <c r="AC229" s="22">
        <v>113.75</v>
      </c>
      <c r="AF229" s="22">
        <v>58</v>
      </c>
      <c r="BN229" s="25">
        <v>0.008</v>
      </c>
      <c r="BO229" s="25">
        <v>399</v>
      </c>
      <c r="BP229" s="25">
        <v>307</v>
      </c>
      <c r="BQ229" s="25">
        <v>315</v>
      </c>
      <c r="BT229" s="25">
        <v>325</v>
      </c>
      <c r="BW229" s="25">
        <v>145</v>
      </c>
      <c r="CB229" s="25">
        <v>180</v>
      </c>
    </row>
    <row r="230" spans="23:80" ht="12">
      <c r="W230" s="22">
        <v>0.009000000000000001</v>
      </c>
      <c r="X230" s="22">
        <v>176.85</v>
      </c>
      <c r="Y230" s="22">
        <v>122</v>
      </c>
      <c r="Z230" s="22">
        <v>140.85</v>
      </c>
      <c r="AC230" s="22">
        <v>113.75</v>
      </c>
      <c r="AF230" s="22">
        <v>58</v>
      </c>
      <c r="BN230" s="25">
        <v>0.009</v>
      </c>
      <c r="BO230" s="25">
        <v>393</v>
      </c>
      <c r="BP230" s="25">
        <v>305</v>
      </c>
      <c r="BQ230" s="25">
        <v>313</v>
      </c>
      <c r="BT230" s="25">
        <v>325</v>
      </c>
      <c r="BV230" s="25">
        <v>345</v>
      </c>
      <c r="BW230" s="25">
        <v>145</v>
      </c>
      <c r="CB230" s="25">
        <v>180</v>
      </c>
    </row>
    <row r="231" spans="23:80" ht="12">
      <c r="W231" s="22">
        <v>0.01</v>
      </c>
      <c r="X231" s="22">
        <v>174.15</v>
      </c>
      <c r="Y231" s="22">
        <v>121.2</v>
      </c>
      <c r="Z231" s="22">
        <v>139.05</v>
      </c>
      <c r="AC231" s="22">
        <v>112</v>
      </c>
      <c r="AE231" s="22">
        <v>172.5</v>
      </c>
      <c r="AF231" s="22">
        <v>58</v>
      </c>
      <c r="BN231" s="25">
        <v>0.01</v>
      </c>
      <c r="BO231" s="25">
        <v>387</v>
      </c>
      <c r="BP231" s="25">
        <v>303</v>
      </c>
      <c r="BQ231" s="25">
        <v>311</v>
      </c>
      <c r="BT231" s="25">
        <v>320</v>
      </c>
      <c r="BV231" s="25">
        <v>345</v>
      </c>
      <c r="BW231" s="25">
        <v>145</v>
      </c>
      <c r="CB231" s="25">
        <v>180</v>
      </c>
    </row>
    <row r="232" spans="23:80" ht="12">
      <c r="W232" s="22">
        <v>0.012</v>
      </c>
      <c r="X232" s="22">
        <v>169.69</v>
      </c>
      <c r="Y232" s="22">
        <v>119.6</v>
      </c>
      <c r="Z232" s="22">
        <v>138.15</v>
      </c>
      <c r="AC232" s="22">
        <v>110.6</v>
      </c>
      <c r="AE232" s="22">
        <v>172</v>
      </c>
      <c r="AF232" s="22">
        <v>58</v>
      </c>
      <c r="BN232" s="25">
        <v>0.012</v>
      </c>
      <c r="BO232" s="25">
        <v>377</v>
      </c>
      <c r="BP232" s="25">
        <v>299</v>
      </c>
      <c r="BQ232" s="25">
        <v>307</v>
      </c>
      <c r="BT232" s="25">
        <v>316</v>
      </c>
      <c r="BV232" s="25">
        <v>345</v>
      </c>
      <c r="BW232" s="25">
        <v>145</v>
      </c>
      <c r="CB232" s="25">
        <v>180</v>
      </c>
    </row>
    <row r="233" spans="23:80" ht="12">
      <c r="W233" s="22">
        <v>0.013000000000000001</v>
      </c>
      <c r="X233" s="22">
        <v>167.85</v>
      </c>
      <c r="Y233" s="22">
        <v>118.8</v>
      </c>
      <c r="Z233" s="22">
        <v>137.25</v>
      </c>
      <c r="AC233" s="22">
        <v>109.9</v>
      </c>
      <c r="AE233" s="22">
        <v>171.5</v>
      </c>
      <c r="AF233" s="22">
        <v>58</v>
      </c>
      <c r="BN233" s="25">
        <v>0.013</v>
      </c>
      <c r="BO233" s="25">
        <v>373</v>
      </c>
      <c r="BP233" s="25">
        <v>297</v>
      </c>
      <c r="BQ233" s="25">
        <v>305</v>
      </c>
      <c r="BT233" s="25">
        <v>314</v>
      </c>
      <c r="BV233" s="25">
        <v>345</v>
      </c>
      <c r="BW233" s="25">
        <v>145</v>
      </c>
      <c r="CB233" s="25">
        <v>180</v>
      </c>
    </row>
    <row r="234" spans="23:80" ht="12">
      <c r="W234" s="22">
        <v>0.014</v>
      </c>
      <c r="X234" s="22">
        <v>166.05</v>
      </c>
      <c r="Y234" s="22">
        <v>118</v>
      </c>
      <c r="Z234" s="22">
        <v>136.35</v>
      </c>
      <c r="AC234" s="22">
        <v>109.2</v>
      </c>
      <c r="AE234" s="22">
        <v>171</v>
      </c>
      <c r="AF234" s="22">
        <v>58</v>
      </c>
      <c r="BN234" s="25">
        <v>0.014</v>
      </c>
      <c r="BO234" s="25">
        <v>369</v>
      </c>
      <c r="BP234" s="25">
        <v>295</v>
      </c>
      <c r="BQ234" s="25">
        <v>303</v>
      </c>
      <c r="BT234" s="25">
        <v>312</v>
      </c>
      <c r="BV234" s="25">
        <v>340</v>
      </c>
      <c r="BW234" s="25">
        <v>145</v>
      </c>
      <c r="CB234" s="25">
        <v>180</v>
      </c>
    </row>
    <row r="235" spans="23:80" ht="12">
      <c r="W235" s="22">
        <v>0.015</v>
      </c>
      <c r="X235" s="22">
        <v>164.25</v>
      </c>
      <c r="Y235" s="22">
        <v>117.2</v>
      </c>
      <c r="Z235" s="22">
        <v>135.45</v>
      </c>
      <c r="AC235" s="22">
        <v>108.5</v>
      </c>
      <c r="AE235" s="22">
        <v>170</v>
      </c>
      <c r="AF235" s="22">
        <v>58</v>
      </c>
      <c r="BN235" s="25">
        <v>0.015</v>
      </c>
      <c r="BO235" s="25">
        <v>365</v>
      </c>
      <c r="BP235" s="25">
        <v>293</v>
      </c>
      <c r="BQ235" s="25">
        <v>301</v>
      </c>
      <c r="BT235" s="25">
        <v>310</v>
      </c>
      <c r="BV235" s="25">
        <v>340</v>
      </c>
      <c r="BW235" s="25">
        <v>145</v>
      </c>
      <c r="CB235" s="25">
        <v>180</v>
      </c>
    </row>
    <row r="236" spans="23:80" ht="12">
      <c r="W236" s="22">
        <v>0.016</v>
      </c>
      <c r="X236" s="22">
        <v>162.9</v>
      </c>
      <c r="Y236" s="22">
        <v>116.4</v>
      </c>
      <c r="Z236" s="22">
        <v>135</v>
      </c>
      <c r="AC236" s="22">
        <v>107.8</v>
      </c>
      <c r="AE236" s="22">
        <v>167.5</v>
      </c>
      <c r="AF236" s="22">
        <v>58</v>
      </c>
      <c r="BN236" s="25">
        <v>0.016</v>
      </c>
      <c r="BO236" s="25">
        <v>362</v>
      </c>
      <c r="BP236" s="25">
        <v>291</v>
      </c>
      <c r="BQ236" s="25">
        <v>300</v>
      </c>
      <c r="BT236" s="25">
        <v>308</v>
      </c>
      <c r="BV236" s="25">
        <v>335</v>
      </c>
      <c r="BW236" s="25">
        <v>145</v>
      </c>
      <c r="CB236" s="25">
        <v>180</v>
      </c>
    </row>
    <row r="237" spans="23:80" ht="12">
      <c r="W237" s="22">
        <v>0.017</v>
      </c>
      <c r="X237" s="22">
        <v>162.8</v>
      </c>
      <c r="Y237" s="22">
        <v>115.5</v>
      </c>
      <c r="Z237" s="22">
        <v>134.1</v>
      </c>
      <c r="AC237" s="22">
        <v>107.1</v>
      </c>
      <c r="AE237" s="22">
        <v>167.5</v>
      </c>
      <c r="AF237" s="22">
        <v>58</v>
      </c>
      <c r="BN237" s="25">
        <v>0.017</v>
      </c>
      <c r="BO237" s="25">
        <v>362</v>
      </c>
      <c r="BP237" s="25">
        <v>289</v>
      </c>
      <c r="BQ237" s="25">
        <v>298</v>
      </c>
      <c r="BT237" s="25">
        <v>306</v>
      </c>
      <c r="BV237" s="25">
        <v>335</v>
      </c>
      <c r="BW237" s="25">
        <v>145</v>
      </c>
      <c r="CB237" s="25">
        <v>180</v>
      </c>
    </row>
    <row r="238" spans="23:80" ht="12">
      <c r="W238" s="22">
        <v>0.018000000000000002</v>
      </c>
      <c r="X238" s="22">
        <v>160.02</v>
      </c>
      <c r="Y238" s="22">
        <v>114.8</v>
      </c>
      <c r="Z238" s="22">
        <v>133.65</v>
      </c>
      <c r="AC238" s="22">
        <v>106.4</v>
      </c>
      <c r="AE238" s="22">
        <v>167.5</v>
      </c>
      <c r="AF238" s="22">
        <v>58</v>
      </c>
      <c r="BN238" s="25">
        <v>0.018</v>
      </c>
      <c r="BO238" s="25">
        <v>356</v>
      </c>
      <c r="BP238" s="25">
        <v>287</v>
      </c>
      <c r="BQ238" s="25">
        <v>297</v>
      </c>
      <c r="BT238" s="25">
        <v>304</v>
      </c>
      <c r="BV238" s="25">
        <v>335</v>
      </c>
      <c r="BW238" s="25">
        <v>145</v>
      </c>
      <c r="CB238" s="25">
        <v>180</v>
      </c>
    </row>
    <row r="239" spans="23:80" ht="12">
      <c r="W239" s="22">
        <v>0.02</v>
      </c>
      <c r="X239" s="22">
        <v>157.5</v>
      </c>
      <c r="Y239" s="22">
        <v>113.2</v>
      </c>
      <c r="Z239" s="22">
        <v>131.85</v>
      </c>
      <c r="AA239" s="22">
        <v>135</v>
      </c>
      <c r="AC239" s="22">
        <v>105</v>
      </c>
      <c r="AE239" s="22">
        <v>167.5</v>
      </c>
      <c r="AF239" s="22">
        <v>58</v>
      </c>
      <c r="BN239" s="25">
        <v>0.02</v>
      </c>
      <c r="BO239" s="25">
        <v>350</v>
      </c>
      <c r="BP239" s="25">
        <v>283</v>
      </c>
      <c r="BQ239" s="25">
        <v>293</v>
      </c>
      <c r="BR239" s="25">
        <v>300</v>
      </c>
      <c r="BT239" s="25">
        <v>300</v>
      </c>
      <c r="BV239" s="25">
        <v>335</v>
      </c>
      <c r="BW239" s="25">
        <v>145</v>
      </c>
      <c r="CB239" s="25">
        <v>180</v>
      </c>
    </row>
    <row r="240" spans="23:80" ht="12">
      <c r="W240" s="22">
        <v>0.021</v>
      </c>
      <c r="X240" s="22">
        <v>157.5</v>
      </c>
      <c r="Y240" s="22">
        <v>112.4</v>
      </c>
      <c r="Z240" s="22">
        <v>131.25</v>
      </c>
      <c r="AA240" s="22">
        <v>134.62</v>
      </c>
      <c r="AC240" s="22">
        <v>104.5</v>
      </c>
      <c r="AE240" s="22">
        <v>166.9</v>
      </c>
      <c r="AF240" s="22">
        <v>58</v>
      </c>
      <c r="BN240" s="25">
        <v>0.021</v>
      </c>
      <c r="BO240" s="25">
        <v>350</v>
      </c>
      <c r="BP240" s="25">
        <v>281</v>
      </c>
      <c r="BQ240" s="25">
        <v>291.66</v>
      </c>
      <c r="BR240" s="25">
        <v>299.15</v>
      </c>
      <c r="BT240" s="25">
        <v>298</v>
      </c>
      <c r="BV240" s="25">
        <v>330</v>
      </c>
      <c r="BW240" s="25">
        <v>145</v>
      </c>
      <c r="CB240" s="25">
        <v>180</v>
      </c>
    </row>
    <row r="241" spans="23:80" ht="12">
      <c r="W241" s="22">
        <v>0.022000000000000002</v>
      </c>
      <c r="X241" s="22">
        <v>155.25</v>
      </c>
      <c r="Y241" s="22">
        <v>112</v>
      </c>
      <c r="Z241" s="22">
        <v>130.65</v>
      </c>
      <c r="AA241" s="22">
        <v>134.25</v>
      </c>
      <c r="AC241" s="22">
        <v>103.8</v>
      </c>
      <c r="AE241" s="22">
        <v>166.3</v>
      </c>
      <c r="AF241" s="22">
        <v>58</v>
      </c>
      <c r="BN241" s="25">
        <v>0.022</v>
      </c>
      <c r="BO241" s="25">
        <v>345</v>
      </c>
      <c r="BP241" s="25">
        <v>280</v>
      </c>
      <c r="BQ241" s="25">
        <v>290.33</v>
      </c>
      <c r="BR241" s="25">
        <v>298.33</v>
      </c>
      <c r="BT241" s="25">
        <v>294</v>
      </c>
      <c r="BV241" s="25">
        <v>330</v>
      </c>
      <c r="BW241" s="25">
        <v>145</v>
      </c>
      <c r="CB241" s="25">
        <v>180</v>
      </c>
    </row>
    <row r="242" spans="23:80" ht="12">
      <c r="W242" s="22">
        <v>0.023</v>
      </c>
      <c r="X242" s="22">
        <v>155.25</v>
      </c>
      <c r="Y242" s="22">
        <v>111.2</v>
      </c>
      <c r="Z242" s="22">
        <v>130.05</v>
      </c>
      <c r="AA242" s="22">
        <v>133.87</v>
      </c>
      <c r="AC242" s="22">
        <v>103</v>
      </c>
      <c r="AE242" s="22">
        <v>165.8</v>
      </c>
      <c r="AF242" s="22">
        <v>58</v>
      </c>
      <c r="BN242" s="25">
        <v>0.023</v>
      </c>
      <c r="BO242" s="25">
        <v>345</v>
      </c>
      <c r="BP242" s="25">
        <v>278</v>
      </c>
      <c r="BQ242" s="25">
        <v>289</v>
      </c>
      <c r="BR242" s="25">
        <v>297.48</v>
      </c>
      <c r="BT242" s="25">
        <v>292</v>
      </c>
      <c r="BV242" s="25">
        <v>330</v>
      </c>
      <c r="BW242" s="25">
        <v>145</v>
      </c>
      <c r="CB242" s="25">
        <v>180</v>
      </c>
    </row>
    <row r="243" spans="23:80" ht="12">
      <c r="W243" s="22">
        <v>0.024</v>
      </c>
      <c r="X243" s="22">
        <v>163.45</v>
      </c>
      <c r="Y243" s="22">
        <v>110.8</v>
      </c>
      <c r="Z243" s="22">
        <v>129.37</v>
      </c>
      <c r="AA243" s="22">
        <v>133.5</v>
      </c>
      <c r="AC243" s="22">
        <v>102.2</v>
      </c>
      <c r="AE243" s="22">
        <v>165</v>
      </c>
      <c r="AF243" s="22">
        <v>58</v>
      </c>
      <c r="BN243" s="25">
        <v>0.024</v>
      </c>
      <c r="BO243" s="25">
        <v>341</v>
      </c>
      <c r="BP243" s="25">
        <v>277</v>
      </c>
      <c r="BQ243" s="25">
        <v>287.48</v>
      </c>
      <c r="BR243" s="25">
        <v>296.66</v>
      </c>
      <c r="BT243" s="25">
        <v>290</v>
      </c>
      <c r="BV243" s="25">
        <v>330</v>
      </c>
      <c r="BW243" s="25">
        <v>145</v>
      </c>
      <c r="CB243" s="25">
        <v>180</v>
      </c>
    </row>
    <row r="244" spans="23:80" ht="12">
      <c r="W244" s="22">
        <v>0.025</v>
      </c>
      <c r="X244" s="22">
        <v>153.45</v>
      </c>
      <c r="Y244" s="22">
        <v>110</v>
      </c>
      <c r="Z244" s="22">
        <v>128.7</v>
      </c>
      <c r="AA244" s="22">
        <v>133.12</v>
      </c>
      <c r="AC244" s="22">
        <v>101.5</v>
      </c>
      <c r="AE244" s="22">
        <v>146.25</v>
      </c>
      <c r="AF244" s="22">
        <v>58</v>
      </c>
      <c r="BN244" s="25">
        <v>0.025</v>
      </c>
      <c r="BO244" s="25">
        <v>341</v>
      </c>
      <c r="BP244" s="25">
        <v>275</v>
      </c>
      <c r="BQ244" s="25">
        <v>286</v>
      </c>
      <c r="BR244" s="25">
        <v>295.82</v>
      </c>
      <c r="BT244" s="25">
        <v>289</v>
      </c>
      <c r="BV244" s="25">
        <v>330</v>
      </c>
      <c r="BW244" s="25">
        <v>145</v>
      </c>
      <c r="CB244" s="25">
        <v>180</v>
      </c>
    </row>
    <row r="245" spans="23:80" ht="12">
      <c r="W245" s="22">
        <v>0.026000000000000002</v>
      </c>
      <c r="X245" s="22">
        <v>151.65</v>
      </c>
      <c r="Y245" s="22">
        <v>109.6</v>
      </c>
      <c r="Z245" s="22">
        <v>128.25</v>
      </c>
      <c r="AA245" s="22">
        <v>132.75</v>
      </c>
      <c r="AC245" s="22">
        <v>101.15</v>
      </c>
      <c r="AE245" s="22">
        <v>146.25</v>
      </c>
      <c r="AF245" s="22">
        <v>54</v>
      </c>
      <c r="BN245" s="25">
        <v>0.026</v>
      </c>
      <c r="BO245" s="25">
        <v>337</v>
      </c>
      <c r="BP245" s="25">
        <v>274</v>
      </c>
      <c r="BQ245" s="25">
        <v>285</v>
      </c>
      <c r="BR245" s="25">
        <v>295</v>
      </c>
      <c r="BT245" s="25">
        <v>287</v>
      </c>
      <c r="BV245" s="25">
        <v>325</v>
      </c>
      <c r="BW245" s="25">
        <v>135</v>
      </c>
      <c r="CB245" s="25">
        <v>180</v>
      </c>
    </row>
    <row r="246" spans="23:80" ht="12">
      <c r="W246" s="22">
        <v>0.027</v>
      </c>
      <c r="X246" s="22">
        <v>151.65</v>
      </c>
      <c r="Y246" s="22">
        <v>108.8</v>
      </c>
      <c r="Z246" s="22">
        <v>127.8</v>
      </c>
      <c r="AA246" s="22">
        <v>132.37</v>
      </c>
      <c r="AC246" s="22">
        <v>100.45</v>
      </c>
      <c r="AE246" s="22">
        <v>146.25</v>
      </c>
      <c r="AF246" s="22">
        <v>54</v>
      </c>
      <c r="BN246" s="25">
        <v>0.027</v>
      </c>
      <c r="BO246" s="25">
        <v>337</v>
      </c>
      <c r="BP246" s="25">
        <v>272</v>
      </c>
      <c r="BQ246" s="25">
        <v>284</v>
      </c>
      <c r="BR246" s="25">
        <v>294.15</v>
      </c>
      <c r="BT246" s="25">
        <v>286</v>
      </c>
      <c r="BV246" s="25">
        <v>325</v>
      </c>
      <c r="BW246" s="25">
        <v>135</v>
      </c>
      <c r="CB246" s="25">
        <v>180</v>
      </c>
    </row>
    <row r="247" spans="23:80" ht="12">
      <c r="W247" s="22">
        <v>0.028</v>
      </c>
      <c r="X247" s="22">
        <v>149.85</v>
      </c>
      <c r="Y247" s="22">
        <v>108.4</v>
      </c>
      <c r="Z247" s="22">
        <v>127.35</v>
      </c>
      <c r="AA247" s="22">
        <v>132</v>
      </c>
      <c r="AC247" s="22">
        <v>100.1</v>
      </c>
      <c r="AE247" s="22">
        <v>146.25</v>
      </c>
      <c r="AF247" s="22">
        <v>54</v>
      </c>
      <c r="BN247" s="25">
        <v>0.028</v>
      </c>
      <c r="BO247" s="25">
        <v>333</v>
      </c>
      <c r="BP247" s="25">
        <v>271</v>
      </c>
      <c r="BQ247" s="25">
        <v>283</v>
      </c>
      <c r="BR247" s="25">
        <v>293.33</v>
      </c>
      <c r="BT247" s="25">
        <v>284</v>
      </c>
      <c r="BV247" s="25">
        <v>325</v>
      </c>
      <c r="BW247" s="25">
        <v>135</v>
      </c>
      <c r="CB247" s="25">
        <v>180</v>
      </c>
    </row>
    <row r="248" spans="23:80" ht="12">
      <c r="W248" s="22">
        <v>0.029</v>
      </c>
      <c r="X248" s="22">
        <v>149.85</v>
      </c>
      <c r="Y248" s="22">
        <v>106.8</v>
      </c>
      <c r="Z248" s="22">
        <v>126.9</v>
      </c>
      <c r="AA248" s="22">
        <v>131.62</v>
      </c>
      <c r="AC248" s="22">
        <v>99.4</v>
      </c>
      <c r="AE248" s="22">
        <v>146.25</v>
      </c>
      <c r="AF248" s="22">
        <v>54</v>
      </c>
      <c r="BN248" s="25">
        <v>0.029</v>
      </c>
      <c r="BO248" s="25">
        <v>333</v>
      </c>
      <c r="BP248" s="25">
        <v>267</v>
      </c>
      <c r="BQ248" s="25">
        <v>282</v>
      </c>
      <c r="BR248" s="25">
        <v>292.48</v>
      </c>
      <c r="BT248" s="25">
        <v>282</v>
      </c>
      <c r="BV248" s="25">
        <v>325</v>
      </c>
      <c r="BW248" s="25">
        <v>135</v>
      </c>
      <c r="CB248" s="25">
        <v>180</v>
      </c>
    </row>
    <row r="249" spans="23:80" ht="12">
      <c r="W249" s="22">
        <v>0.03</v>
      </c>
      <c r="X249" s="22">
        <v>148.5</v>
      </c>
      <c r="Y249" s="22">
        <v>106.4</v>
      </c>
      <c r="Z249" s="22">
        <v>126.45</v>
      </c>
      <c r="AA249" s="22">
        <v>131.25</v>
      </c>
      <c r="AC249" s="22">
        <v>98.7</v>
      </c>
      <c r="AE249" s="22">
        <v>146.25</v>
      </c>
      <c r="AF249" s="22">
        <v>54</v>
      </c>
      <c r="BN249" s="25">
        <v>0.03</v>
      </c>
      <c r="BO249" s="25">
        <v>330</v>
      </c>
      <c r="BP249" s="25">
        <v>266</v>
      </c>
      <c r="BQ249" s="25">
        <v>281</v>
      </c>
      <c r="BR249" s="25">
        <v>291.66</v>
      </c>
      <c r="BT249" s="25">
        <v>280</v>
      </c>
      <c r="BV249" s="25">
        <v>325</v>
      </c>
      <c r="BW249" s="25">
        <v>135</v>
      </c>
      <c r="CB249" s="25">
        <v>180</v>
      </c>
    </row>
    <row r="250" spans="23:80" ht="12">
      <c r="W250" s="22">
        <v>0.031</v>
      </c>
      <c r="X250" s="22">
        <v>148.5</v>
      </c>
      <c r="Y250" s="22">
        <v>106.4</v>
      </c>
      <c r="Z250" s="22">
        <v>126</v>
      </c>
      <c r="AA250" s="22">
        <v>130.87</v>
      </c>
      <c r="AC250" s="22">
        <v>98</v>
      </c>
      <c r="AE250" s="22">
        <v>144</v>
      </c>
      <c r="AF250" s="22">
        <v>54</v>
      </c>
      <c r="BN250" s="25">
        <v>0.031</v>
      </c>
      <c r="BO250" s="25">
        <v>330</v>
      </c>
      <c r="BP250" s="25">
        <v>266</v>
      </c>
      <c r="BQ250" s="25">
        <v>280</v>
      </c>
      <c r="BR250" s="25">
        <v>290.82</v>
      </c>
      <c r="BT250" s="25">
        <v>277</v>
      </c>
      <c r="BV250" s="25">
        <v>320</v>
      </c>
      <c r="BW250" s="25">
        <v>135</v>
      </c>
      <c r="CB250" s="25">
        <v>180</v>
      </c>
    </row>
    <row r="251" spans="23:80" ht="12">
      <c r="W251" s="22">
        <v>0.032</v>
      </c>
      <c r="X251" s="22">
        <v>147.15</v>
      </c>
      <c r="Y251" s="22">
        <v>106</v>
      </c>
      <c r="Z251" s="22">
        <v>125.32</v>
      </c>
      <c r="AA251" s="22">
        <v>130.5</v>
      </c>
      <c r="AB251" s="22">
        <v>135</v>
      </c>
      <c r="AC251" s="22">
        <v>96.95</v>
      </c>
      <c r="AE251" s="22">
        <v>144</v>
      </c>
      <c r="AF251" s="22">
        <v>54</v>
      </c>
      <c r="BN251" s="25">
        <v>0.032</v>
      </c>
      <c r="BO251" s="25">
        <v>327</v>
      </c>
      <c r="BP251" s="25">
        <v>265</v>
      </c>
      <c r="BQ251" s="25">
        <v>278.48</v>
      </c>
      <c r="BR251" s="25">
        <v>290</v>
      </c>
      <c r="BS251" s="25">
        <v>300</v>
      </c>
      <c r="BT251" s="25">
        <v>276</v>
      </c>
      <c r="BV251" s="25">
        <v>320</v>
      </c>
      <c r="BW251" s="25">
        <v>135</v>
      </c>
      <c r="CB251" s="25">
        <v>180</v>
      </c>
    </row>
    <row r="252" spans="23:80" ht="12">
      <c r="W252" s="22">
        <v>0.033</v>
      </c>
      <c r="X252" s="22">
        <v>147.15</v>
      </c>
      <c r="Y252" s="22">
        <v>105.6</v>
      </c>
      <c r="Z252" s="22">
        <v>124.65</v>
      </c>
      <c r="AA252" s="22">
        <v>130</v>
      </c>
      <c r="AB252" s="22">
        <v>134.9</v>
      </c>
      <c r="AC252" s="22">
        <v>96.6</v>
      </c>
      <c r="AE252" s="22">
        <v>144</v>
      </c>
      <c r="AF252" s="22">
        <v>54</v>
      </c>
      <c r="BN252" s="25">
        <v>0.033</v>
      </c>
      <c r="BO252" s="25">
        <v>327</v>
      </c>
      <c r="BP252" s="25">
        <v>264</v>
      </c>
      <c r="BQ252" s="25">
        <v>277</v>
      </c>
      <c r="BR252" s="25">
        <v>288.88</v>
      </c>
      <c r="BS252" s="25">
        <v>299.77</v>
      </c>
      <c r="BT252" s="25">
        <v>275</v>
      </c>
      <c r="BV252" s="25">
        <v>320</v>
      </c>
      <c r="BW252" s="25">
        <v>135</v>
      </c>
      <c r="CB252" s="25">
        <v>180</v>
      </c>
    </row>
    <row r="253" spans="23:80" ht="12">
      <c r="W253" s="22">
        <v>0.034</v>
      </c>
      <c r="X253" s="22">
        <v>145.9</v>
      </c>
      <c r="Y253" s="22">
        <v>104.8</v>
      </c>
      <c r="Z253" s="22">
        <v>123.97</v>
      </c>
      <c r="AA253" s="22">
        <v>129.5</v>
      </c>
      <c r="AB253" s="22">
        <v>134.8</v>
      </c>
      <c r="AC253" s="22">
        <v>96.25</v>
      </c>
      <c r="AE253" s="22">
        <v>144</v>
      </c>
      <c r="AF253" s="22">
        <v>54</v>
      </c>
      <c r="BN253" s="25">
        <v>0.034</v>
      </c>
      <c r="BO253" s="25">
        <v>324</v>
      </c>
      <c r="BP253" s="25">
        <v>262</v>
      </c>
      <c r="BQ253" s="25">
        <v>275.48</v>
      </c>
      <c r="BR253" s="25">
        <v>287.77</v>
      </c>
      <c r="BS253" s="25">
        <v>299.55</v>
      </c>
      <c r="BT253" s="25">
        <v>275</v>
      </c>
      <c r="BV253" s="25">
        <v>320</v>
      </c>
      <c r="BW253" s="25">
        <v>135</v>
      </c>
      <c r="CB253" s="25">
        <v>180</v>
      </c>
    </row>
    <row r="254" spans="23:80" ht="12">
      <c r="W254" s="22">
        <v>0.035</v>
      </c>
      <c r="X254" s="22">
        <v>145.8</v>
      </c>
      <c r="Y254" s="22">
        <v>104.4</v>
      </c>
      <c r="Z254" s="22">
        <v>123.3</v>
      </c>
      <c r="AA254" s="22">
        <v>129</v>
      </c>
      <c r="AB254" s="22">
        <v>134.7</v>
      </c>
      <c r="AC254" s="22">
        <v>95.9</v>
      </c>
      <c r="AE254" s="22">
        <v>144</v>
      </c>
      <c r="AF254" s="22">
        <v>54</v>
      </c>
      <c r="BN254" s="25">
        <v>0.035</v>
      </c>
      <c r="BO254" s="25">
        <v>324</v>
      </c>
      <c r="BP254" s="25">
        <v>261</v>
      </c>
      <c r="BQ254" s="25">
        <v>274</v>
      </c>
      <c r="BR254" s="25">
        <v>286.66</v>
      </c>
      <c r="BS254" s="25">
        <v>299.33</v>
      </c>
      <c r="BT254" s="25">
        <v>274</v>
      </c>
      <c r="BV254" s="25">
        <v>320</v>
      </c>
      <c r="BW254" s="25">
        <v>135</v>
      </c>
      <c r="CB254" s="25">
        <v>180</v>
      </c>
    </row>
    <row r="255" spans="23:80" ht="12">
      <c r="W255" s="22">
        <v>0.036000000000000004</v>
      </c>
      <c r="X255" s="22">
        <v>144.45</v>
      </c>
      <c r="Y255" s="22">
        <v>104</v>
      </c>
      <c r="Z255" s="22">
        <v>122.7</v>
      </c>
      <c r="AA255" s="22">
        <v>128.5</v>
      </c>
      <c r="AB255" s="22">
        <v>134.6</v>
      </c>
      <c r="AC255" s="22">
        <v>95.55</v>
      </c>
      <c r="AE255" s="22">
        <v>144</v>
      </c>
      <c r="AF255" s="22">
        <v>54</v>
      </c>
      <c r="BN255" s="25">
        <v>0.036</v>
      </c>
      <c r="BO255" s="25">
        <v>321</v>
      </c>
      <c r="BP255" s="25">
        <v>260</v>
      </c>
      <c r="BQ255" s="25">
        <v>272.66</v>
      </c>
      <c r="BR255" s="25">
        <v>285.55</v>
      </c>
      <c r="BS255" s="25">
        <v>299.11</v>
      </c>
      <c r="BT255" s="25">
        <v>273</v>
      </c>
      <c r="BV255" s="25">
        <v>320</v>
      </c>
      <c r="BW255" s="25">
        <v>135</v>
      </c>
      <c r="CB255" s="25">
        <v>180</v>
      </c>
    </row>
    <row r="256" spans="23:80" ht="12">
      <c r="W256" s="22">
        <v>0.037000000000000005</v>
      </c>
      <c r="X256" s="22">
        <v>144.45</v>
      </c>
      <c r="Y256" s="22">
        <v>103.2</v>
      </c>
      <c r="Z256" s="22">
        <v>122.1</v>
      </c>
      <c r="AA256" s="22">
        <v>128</v>
      </c>
      <c r="AB256" s="22">
        <v>134.5</v>
      </c>
      <c r="AC256" s="22">
        <v>95.2</v>
      </c>
      <c r="AE256" s="22">
        <v>144</v>
      </c>
      <c r="AF256" s="22">
        <v>54</v>
      </c>
      <c r="BN256" s="25">
        <v>0.037</v>
      </c>
      <c r="BO256" s="25">
        <v>321</v>
      </c>
      <c r="BP256" s="25">
        <v>258</v>
      </c>
      <c r="BQ256" s="25">
        <v>271.33</v>
      </c>
      <c r="BR256" s="25">
        <v>284.44</v>
      </c>
      <c r="BS256" s="25">
        <v>298.88</v>
      </c>
      <c r="BT256" s="25">
        <v>272</v>
      </c>
      <c r="BV256" s="25">
        <v>320</v>
      </c>
      <c r="BW256" s="25">
        <v>135</v>
      </c>
      <c r="CB256" s="25">
        <v>180</v>
      </c>
    </row>
    <row r="257" spans="23:80" ht="12">
      <c r="W257" s="22">
        <v>0.038</v>
      </c>
      <c r="X257" s="22">
        <v>143.1</v>
      </c>
      <c r="Y257" s="22">
        <v>102.8</v>
      </c>
      <c r="Z257" s="22">
        <v>121.5</v>
      </c>
      <c r="AA257" s="22">
        <v>127.5</v>
      </c>
      <c r="AB257" s="22">
        <v>134.4</v>
      </c>
      <c r="AC257" s="22">
        <v>94.85</v>
      </c>
      <c r="AE257" s="22">
        <v>144</v>
      </c>
      <c r="AF257" s="22">
        <v>54</v>
      </c>
      <c r="BN257" s="25">
        <v>0.038</v>
      </c>
      <c r="BO257" s="25">
        <v>318</v>
      </c>
      <c r="BP257" s="25">
        <v>257</v>
      </c>
      <c r="BQ257" s="25">
        <v>270</v>
      </c>
      <c r="BR257" s="25">
        <v>283.33</v>
      </c>
      <c r="BS257" s="25">
        <v>298.66</v>
      </c>
      <c r="BT257" s="25">
        <v>271</v>
      </c>
      <c r="BV257" s="25">
        <v>320</v>
      </c>
      <c r="BW257" s="25">
        <v>135</v>
      </c>
      <c r="CB257" s="25">
        <v>180</v>
      </c>
    </row>
    <row r="258" spans="23:80" ht="12">
      <c r="W258" s="22">
        <v>0.039</v>
      </c>
      <c r="X258" s="22">
        <v>143.1</v>
      </c>
      <c r="Y258" s="22">
        <v>102.4</v>
      </c>
      <c r="Z258" s="22">
        <v>120.9</v>
      </c>
      <c r="AA258" s="22">
        <v>127</v>
      </c>
      <c r="AB258" s="22">
        <v>134.3</v>
      </c>
      <c r="AC258" s="22">
        <v>94.5</v>
      </c>
      <c r="AE258" s="22">
        <v>144</v>
      </c>
      <c r="AF258" s="22">
        <v>54</v>
      </c>
      <c r="BN258" s="25">
        <v>0.039</v>
      </c>
      <c r="BO258" s="25">
        <v>318</v>
      </c>
      <c r="BP258" s="25">
        <v>256</v>
      </c>
      <c r="BQ258" s="25">
        <v>268.66</v>
      </c>
      <c r="BR258" s="25">
        <v>282.22</v>
      </c>
      <c r="BS258" s="25">
        <v>298.44</v>
      </c>
      <c r="BT258" s="25">
        <v>270</v>
      </c>
      <c r="BV258" s="25">
        <v>320</v>
      </c>
      <c r="BW258" s="25">
        <v>135</v>
      </c>
      <c r="CB258" s="25">
        <v>180</v>
      </c>
    </row>
    <row r="259" spans="23:80" ht="12">
      <c r="W259" s="22">
        <v>0.04</v>
      </c>
      <c r="X259" s="22">
        <v>141.75</v>
      </c>
      <c r="Y259" s="22">
        <v>102</v>
      </c>
      <c r="Z259" s="22">
        <v>120.3</v>
      </c>
      <c r="AA259" s="22">
        <v>126.5</v>
      </c>
      <c r="AB259" s="22">
        <v>134.2</v>
      </c>
      <c r="AC259" s="22">
        <v>94.5</v>
      </c>
      <c r="AE259" s="22">
        <v>144</v>
      </c>
      <c r="AF259" s="22">
        <v>54</v>
      </c>
      <c r="BN259" s="25">
        <v>0.04</v>
      </c>
      <c r="BO259" s="25">
        <v>315</v>
      </c>
      <c r="BP259" s="25">
        <v>255</v>
      </c>
      <c r="BQ259" s="25">
        <v>267.33</v>
      </c>
      <c r="BR259" s="25">
        <v>281.11</v>
      </c>
      <c r="BS259" s="25">
        <v>298.22</v>
      </c>
      <c r="BT259" s="25">
        <v>270</v>
      </c>
      <c r="BV259" s="25">
        <v>320</v>
      </c>
      <c r="BW259" s="25">
        <v>135</v>
      </c>
      <c r="CB259" s="25">
        <v>180</v>
      </c>
    </row>
    <row r="260" spans="23:80" ht="12">
      <c r="W260" s="22">
        <v>0.041</v>
      </c>
      <c r="X260" s="22">
        <v>141.75</v>
      </c>
      <c r="Y260" s="22">
        <v>102</v>
      </c>
      <c r="Z260" s="22">
        <v>119.7</v>
      </c>
      <c r="AA260" s="22">
        <v>126</v>
      </c>
      <c r="AB260" s="22">
        <v>134.1</v>
      </c>
      <c r="AC260" s="22">
        <v>94.15</v>
      </c>
      <c r="AE260" s="22">
        <v>144</v>
      </c>
      <c r="AF260" s="22">
        <v>54</v>
      </c>
      <c r="BN260" s="25">
        <v>0.041</v>
      </c>
      <c r="BO260" s="25">
        <v>315</v>
      </c>
      <c r="BP260" s="25">
        <v>255</v>
      </c>
      <c r="BQ260" s="25">
        <v>266</v>
      </c>
      <c r="BR260" s="25">
        <v>280</v>
      </c>
      <c r="BS260" s="25">
        <v>298</v>
      </c>
      <c r="BT260" s="25">
        <v>269</v>
      </c>
      <c r="BV260" s="25">
        <v>320</v>
      </c>
      <c r="BW260" s="25">
        <v>135</v>
      </c>
      <c r="CB260" s="25">
        <v>170</v>
      </c>
    </row>
    <row r="261" spans="23:80" ht="12">
      <c r="W261" s="22">
        <v>0.042</v>
      </c>
      <c r="X261" s="22">
        <v>140.85</v>
      </c>
      <c r="Y261" s="22">
        <v>101.6</v>
      </c>
      <c r="Z261" s="22">
        <v>119.17</v>
      </c>
      <c r="AA261" s="22">
        <v>125.65</v>
      </c>
      <c r="AB261" s="22">
        <v>133.9</v>
      </c>
      <c r="AC261" s="22">
        <v>93.8</v>
      </c>
      <c r="AE261" s="22">
        <v>139.5</v>
      </c>
      <c r="AF261" s="22">
        <v>54</v>
      </c>
      <c r="BN261" s="25">
        <v>0.042</v>
      </c>
      <c r="BO261" s="25">
        <v>313</v>
      </c>
      <c r="BP261" s="25">
        <v>254</v>
      </c>
      <c r="BQ261" s="25">
        <v>264.82</v>
      </c>
      <c r="BR261" s="25">
        <v>279.3</v>
      </c>
      <c r="BS261" s="25">
        <v>297.55</v>
      </c>
      <c r="BT261" s="25">
        <v>268</v>
      </c>
      <c r="BV261" s="25">
        <v>310</v>
      </c>
      <c r="BW261" s="25">
        <v>135</v>
      </c>
      <c r="CB261" s="25">
        <v>170</v>
      </c>
    </row>
    <row r="262" spans="23:80" ht="12">
      <c r="W262" s="22">
        <v>0.043000000000000003</v>
      </c>
      <c r="X262" s="22">
        <v>140.85</v>
      </c>
      <c r="Y262" s="22">
        <v>100.8</v>
      </c>
      <c r="Z262" s="22">
        <v>118.65</v>
      </c>
      <c r="AA262" s="22">
        <v>125.3</v>
      </c>
      <c r="AB262" s="22">
        <v>133.7</v>
      </c>
      <c r="AC262" s="22">
        <v>93.45</v>
      </c>
      <c r="AE262" s="22">
        <v>139.5</v>
      </c>
      <c r="AF262" s="22">
        <v>54</v>
      </c>
      <c r="BN262" s="25">
        <v>0.043</v>
      </c>
      <c r="BO262" s="25">
        <v>313</v>
      </c>
      <c r="BP262" s="25">
        <v>251</v>
      </c>
      <c r="BQ262" s="25">
        <v>263.66</v>
      </c>
      <c r="BR262" s="25">
        <v>278.44</v>
      </c>
      <c r="BS262" s="25">
        <v>297.11</v>
      </c>
      <c r="BT262" s="25">
        <v>267</v>
      </c>
      <c r="BV262" s="25">
        <v>310</v>
      </c>
      <c r="BW262" s="25">
        <v>135</v>
      </c>
      <c r="CB262" s="25">
        <v>170</v>
      </c>
    </row>
    <row r="263" spans="23:80" ht="12">
      <c r="W263" s="22">
        <v>0.044000000000000004</v>
      </c>
      <c r="X263" s="22">
        <v>140.85</v>
      </c>
      <c r="Y263" s="22">
        <v>100.4</v>
      </c>
      <c r="Z263" s="22">
        <v>118.12</v>
      </c>
      <c r="AA263" s="22">
        <v>124.96</v>
      </c>
      <c r="AB263" s="22">
        <v>133.5</v>
      </c>
      <c r="AC263" s="22">
        <v>93.1</v>
      </c>
      <c r="AE263" s="22">
        <v>139.5</v>
      </c>
      <c r="AF263" s="22">
        <v>54</v>
      </c>
      <c r="BN263" s="25">
        <v>0.044</v>
      </c>
      <c r="BO263" s="25">
        <v>313</v>
      </c>
      <c r="BP263" s="25">
        <v>250</v>
      </c>
      <c r="BQ263" s="25">
        <v>262.48</v>
      </c>
      <c r="BR263" s="25">
        <v>277.68</v>
      </c>
      <c r="BS263" s="25">
        <v>296.66</v>
      </c>
      <c r="BT263" s="25">
        <v>266</v>
      </c>
      <c r="BV263" s="25">
        <v>310</v>
      </c>
      <c r="BW263" s="25">
        <v>135</v>
      </c>
      <c r="CB263" s="25">
        <v>170</v>
      </c>
    </row>
    <row r="264" spans="23:80" ht="12">
      <c r="W264" s="22">
        <v>0.045</v>
      </c>
      <c r="X264" s="22">
        <v>139.05</v>
      </c>
      <c r="Y264" s="22">
        <v>100</v>
      </c>
      <c r="Z264" s="22">
        <v>117.6</v>
      </c>
      <c r="AA264" s="22">
        <v>124.6</v>
      </c>
      <c r="AB264" s="22">
        <v>133.3</v>
      </c>
      <c r="AC264" s="22">
        <v>92.4</v>
      </c>
      <c r="AE264" s="22">
        <v>139.5</v>
      </c>
      <c r="AF264" s="22">
        <v>54</v>
      </c>
      <c r="BN264" s="25">
        <v>0.045</v>
      </c>
      <c r="BO264" s="25">
        <v>309</v>
      </c>
      <c r="BP264" s="25">
        <v>249</v>
      </c>
      <c r="BQ264" s="25">
        <v>261.33</v>
      </c>
      <c r="BR264" s="25">
        <v>276.88</v>
      </c>
      <c r="BS264" s="25">
        <v>296.22</v>
      </c>
      <c r="BT264" s="25">
        <v>264</v>
      </c>
      <c r="BV264" s="25">
        <v>310</v>
      </c>
      <c r="BW264" s="25">
        <v>135</v>
      </c>
      <c r="CB264" s="25">
        <v>170</v>
      </c>
    </row>
    <row r="265" spans="23:80" ht="12">
      <c r="W265" s="22">
        <v>0.046</v>
      </c>
      <c r="X265" s="22">
        <v>139.05</v>
      </c>
      <c r="Y265" s="22">
        <v>99.6</v>
      </c>
      <c r="Z265" s="22">
        <v>117.07</v>
      </c>
      <c r="AA265" s="22">
        <v>124.27</v>
      </c>
      <c r="AB265" s="22">
        <v>133.1</v>
      </c>
      <c r="AC265" s="22">
        <v>92.05</v>
      </c>
      <c r="AE265" s="22">
        <v>139.5</v>
      </c>
      <c r="AF265" s="22">
        <v>54</v>
      </c>
      <c r="BN265" s="25">
        <v>0.046</v>
      </c>
      <c r="BO265" s="25">
        <v>309</v>
      </c>
      <c r="BP265" s="25">
        <v>248</v>
      </c>
      <c r="BQ265" s="25">
        <v>260.15</v>
      </c>
      <c r="BR265" s="25">
        <v>276.15</v>
      </c>
      <c r="BS265" s="25">
        <v>295.77</v>
      </c>
      <c r="BT265" s="25">
        <v>263</v>
      </c>
      <c r="BV265" s="25">
        <v>310</v>
      </c>
      <c r="BW265" s="25">
        <v>135</v>
      </c>
      <c r="CB265" s="25">
        <v>170</v>
      </c>
    </row>
    <row r="266" spans="23:80" ht="12">
      <c r="W266" s="22">
        <v>0.047</v>
      </c>
      <c r="X266" s="22">
        <v>139.05</v>
      </c>
      <c r="Y266" s="22">
        <v>99.2</v>
      </c>
      <c r="Z266" s="22">
        <v>116.55</v>
      </c>
      <c r="AA266" s="22">
        <v>123.92</v>
      </c>
      <c r="AB266" s="22">
        <v>132.9</v>
      </c>
      <c r="AC266" s="22">
        <v>91.7</v>
      </c>
      <c r="AE266" s="22">
        <v>139.5</v>
      </c>
      <c r="AF266" s="22">
        <v>54</v>
      </c>
      <c r="BN266" s="25">
        <v>0.047</v>
      </c>
      <c r="BO266" s="25">
        <v>309</v>
      </c>
      <c r="BP266" s="25">
        <v>247</v>
      </c>
      <c r="BQ266" s="25">
        <v>259</v>
      </c>
      <c r="BR266" s="25">
        <v>275.37</v>
      </c>
      <c r="BS266" s="25">
        <v>295.33</v>
      </c>
      <c r="BT266" s="25">
        <v>262</v>
      </c>
      <c r="BV266" s="25">
        <v>310</v>
      </c>
      <c r="BW266" s="25">
        <v>135</v>
      </c>
      <c r="CB266" s="25">
        <v>170</v>
      </c>
    </row>
    <row r="267" spans="23:80" ht="12">
      <c r="W267" s="22">
        <v>0.048</v>
      </c>
      <c r="X267" s="22">
        <v>137.7</v>
      </c>
      <c r="Y267" s="22">
        <v>98.8</v>
      </c>
      <c r="Z267" s="22">
        <v>116.16</v>
      </c>
      <c r="AA267" s="22">
        <v>123.57</v>
      </c>
      <c r="AB267" s="22">
        <v>132.6</v>
      </c>
      <c r="AC267" s="22">
        <v>91.7</v>
      </c>
      <c r="AE267" s="22">
        <v>139.5</v>
      </c>
      <c r="AF267" s="22">
        <v>54</v>
      </c>
      <c r="BN267" s="25">
        <v>0.048</v>
      </c>
      <c r="BO267" s="25">
        <v>306</v>
      </c>
      <c r="BP267" s="25">
        <v>246</v>
      </c>
      <c r="BQ267" s="25">
        <v>258.13</v>
      </c>
      <c r="BR267" s="25">
        <v>274.6</v>
      </c>
      <c r="BS267" s="25">
        <v>294.66</v>
      </c>
      <c r="BT267" s="25">
        <v>262</v>
      </c>
      <c r="BV267" s="25">
        <v>310</v>
      </c>
      <c r="BW267" s="25">
        <v>135</v>
      </c>
      <c r="CB267" s="25">
        <v>170</v>
      </c>
    </row>
    <row r="268" spans="23:80" ht="12">
      <c r="W268" s="22">
        <v>0.049</v>
      </c>
      <c r="X268" s="22">
        <v>137.7</v>
      </c>
      <c r="Y268" s="22">
        <v>98.4</v>
      </c>
      <c r="Z268" s="22">
        <v>115.78</v>
      </c>
      <c r="AA268" s="22">
        <v>123.23</v>
      </c>
      <c r="AB268" s="22">
        <v>132.4</v>
      </c>
      <c r="AC268" s="22">
        <v>91.35</v>
      </c>
      <c r="AE268" s="22">
        <v>139.5</v>
      </c>
      <c r="AF268" s="22">
        <v>54</v>
      </c>
      <c r="BN268" s="25">
        <v>0.049</v>
      </c>
      <c r="BO268" s="25">
        <v>306</v>
      </c>
      <c r="BP268" s="25">
        <v>245</v>
      </c>
      <c r="BQ268" s="25">
        <v>257.28</v>
      </c>
      <c r="BR268" s="25">
        <v>273.84</v>
      </c>
      <c r="BS268" s="25">
        <v>294.22</v>
      </c>
      <c r="BT268" s="25">
        <v>261</v>
      </c>
      <c r="BV268" s="25">
        <v>310</v>
      </c>
      <c r="BW268" s="25">
        <v>135</v>
      </c>
      <c r="CB268" s="25">
        <v>170</v>
      </c>
    </row>
    <row r="269" spans="23:80" ht="12">
      <c r="W269" s="22">
        <v>0.05</v>
      </c>
      <c r="X269" s="22">
        <v>137.7</v>
      </c>
      <c r="Y269" s="22">
        <v>98</v>
      </c>
      <c r="Z269" s="22">
        <v>115.39</v>
      </c>
      <c r="AA269" s="22">
        <v>122.88</v>
      </c>
      <c r="AB269" s="22">
        <v>132.2</v>
      </c>
      <c r="AC269" s="22">
        <v>91.35</v>
      </c>
      <c r="AE269" s="22">
        <v>139.5</v>
      </c>
      <c r="AF269" s="22">
        <v>54</v>
      </c>
      <c r="BN269" s="25">
        <v>0.05</v>
      </c>
      <c r="BO269" s="25">
        <v>306</v>
      </c>
      <c r="BP269" s="25">
        <v>244</v>
      </c>
      <c r="BQ269" s="25">
        <v>256.42</v>
      </c>
      <c r="BR269" s="25">
        <v>273.06</v>
      </c>
      <c r="BS269" s="25">
        <v>293.77</v>
      </c>
      <c r="BT269" s="25">
        <v>261</v>
      </c>
      <c r="BV269" s="25">
        <v>310</v>
      </c>
      <c r="BW269" s="25">
        <v>135</v>
      </c>
      <c r="CB269" s="25">
        <v>170</v>
      </c>
    </row>
    <row r="270" spans="23:80" ht="12">
      <c r="W270" s="22">
        <v>0.051000000000000004</v>
      </c>
      <c r="X270" s="22">
        <v>136.35</v>
      </c>
      <c r="Y270" s="22">
        <v>97.6</v>
      </c>
      <c r="Z270" s="22">
        <v>115</v>
      </c>
      <c r="AA270" s="22">
        <v>122.54</v>
      </c>
      <c r="AB270" s="22">
        <v>132</v>
      </c>
      <c r="AC270" s="22">
        <v>91</v>
      </c>
      <c r="AE270" s="22">
        <v>139.5</v>
      </c>
      <c r="AF270" s="22">
        <v>54</v>
      </c>
      <c r="BN270" s="25">
        <v>0.051</v>
      </c>
      <c r="BO270" s="25">
        <v>303</v>
      </c>
      <c r="BP270" s="25">
        <v>244</v>
      </c>
      <c r="BQ270" s="25">
        <v>255.55</v>
      </c>
      <c r="BR270" s="25">
        <v>272.31</v>
      </c>
      <c r="BS270" s="25">
        <v>293.33</v>
      </c>
      <c r="BT270" s="25">
        <v>261</v>
      </c>
      <c r="BV270" s="25">
        <v>310</v>
      </c>
      <c r="BW270" s="25">
        <v>135</v>
      </c>
      <c r="CB270" s="25">
        <v>170</v>
      </c>
    </row>
    <row r="271" spans="23:80" ht="12">
      <c r="W271" s="22">
        <v>0.052000000000000005</v>
      </c>
      <c r="X271" s="22">
        <v>136.35</v>
      </c>
      <c r="Y271" s="22">
        <v>97.6</v>
      </c>
      <c r="Z271" s="22">
        <v>114.62</v>
      </c>
      <c r="AA271" s="22">
        <v>122.19</v>
      </c>
      <c r="AB271" s="22">
        <v>131.8</v>
      </c>
      <c r="AC271" s="22">
        <v>91</v>
      </c>
      <c r="AE271" s="22">
        <v>137.25</v>
      </c>
      <c r="AF271" s="22">
        <v>54</v>
      </c>
      <c r="BN271" s="25">
        <v>0.052</v>
      </c>
      <c r="BO271" s="25">
        <v>303</v>
      </c>
      <c r="BP271" s="25">
        <v>243</v>
      </c>
      <c r="BQ271" s="25">
        <v>254.71</v>
      </c>
      <c r="BR271" s="25">
        <v>271.53</v>
      </c>
      <c r="BS271" s="25">
        <v>292.88</v>
      </c>
      <c r="BT271" s="25">
        <v>260</v>
      </c>
      <c r="BV271" s="25">
        <v>305</v>
      </c>
      <c r="BW271" s="25">
        <v>135</v>
      </c>
      <c r="CB271" s="25">
        <v>170</v>
      </c>
    </row>
    <row r="272" spans="23:80" ht="12">
      <c r="W272" s="22">
        <v>0.053000000000000005</v>
      </c>
      <c r="X272" s="22">
        <v>136.35</v>
      </c>
      <c r="Y272" s="22">
        <v>97.2</v>
      </c>
      <c r="Z272" s="22">
        <v>114.23</v>
      </c>
      <c r="AA272" s="22">
        <v>121.84</v>
      </c>
      <c r="AB272" s="22">
        <v>131.6</v>
      </c>
      <c r="AC272" s="22">
        <v>91</v>
      </c>
      <c r="AE272" s="22">
        <v>137.25</v>
      </c>
      <c r="AF272" s="22">
        <v>54</v>
      </c>
      <c r="BN272" s="25">
        <v>0.053</v>
      </c>
      <c r="BO272" s="25">
        <v>303</v>
      </c>
      <c r="BP272" s="25">
        <v>243</v>
      </c>
      <c r="BQ272" s="25">
        <v>253.84</v>
      </c>
      <c r="BR272" s="25">
        <v>270.75</v>
      </c>
      <c r="BS272" s="25">
        <v>292.44</v>
      </c>
      <c r="BT272" s="25">
        <v>260</v>
      </c>
      <c r="BV272" s="25">
        <v>305</v>
      </c>
      <c r="BW272" s="25">
        <v>135</v>
      </c>
      <c r="CB272" s="25">
        <v>170</v>
      </c>
    </row>
    <row r="273" spans="23:80" ht="12">
      <c r="W273" s="22">
        <v>0.054</v>
      </c>
      <c r="X273" s="22">
        <v>136.35</v>
      </c>
      <c r="Y273" s="22">
        <v>97.2</v>
      </c>
      <c r="Z273" s="22">
        <v>113.85</v>
      </c>
      <c r="AA273" s="22">
        <v>121.5</v>
      </c>
      <c r="AB273" s="22">
        <v>131.4</v>
      </c>
      <c r="AC273" s="22">
        <v>91</v>
      </c>
      <c r="AE273" s="22">
        <v>137.25</v>
      </c>
      <c r="AF273" s="22">
        <v>54</v>
      </c>
      <c r="BN273" s="25">
        <v>0.054</v>
      </c>
      <c r="BO273" s="25">
        <v>303</v>
      </c>
      <c r="BP273" s="25">
        <v>242</v>
      </c>
      <c r="BQ273" s="25">
        <v>253</v>
      </c>
      <c r="BR273" s="25">
        <v>270</v>
      </c>
      <c r="BS273" s="25">
        <v>292</v>
      </c>
      <c r="BT273" s="25">
        <v>260</v>
      </c>
      <c r="BV273" s="25">
        <v>305</v>
      </c>
      <c r="BW273" s="25">
        <v>135</v>
      </c>
      <c r="CB273" s="25">
        <v>170</v>
      </c>
    </row>
    <row r="274" spans="23:80" ht="12">
      <c r="W274" s="22">
        <v>0.055</v>
      </c>
      <c r="X274" s="22">
        <v>135</v>
      </c>
      <c r="Y274" s="22">
        <v>96.8</v>
      </c>
      <c r="Z274" s="22">
        <v>113.51</v>
      </c>
      <c r="AA274" s="22">
        <v>121.2</v>
      </c>
      <c r="AB274" s="22">
        <v>131.3</v>
      </c>
      <c r="AC274" s="22">
        <v>91</v>
      </c>
      <c r="AE274" s="22">
        <v>137.25</v>
      </c>
      <c r="AF274" s="22">
        <v>54</v>
      </c>
      <c r="BN274" s="25">
        <v>0.055</v>
      </c>
      <c r="BO274" s="25">
        <v>300</v>
      </c>
      <c r="BP274" s="25">
        <v>241</v>
      </c>
      <c r="BQ274" s="25">
        <v>252.24</v>
      </c>
      <c r="BR274" s="25">
        <v>269.33</v>
      </c>
      <c r="BS274" s="25">
        <v>291.77</v>
      </c>
      <c r="BT274" s="25">
        <v>260</v>
      </c>
      <c r="BV274" s="25">
        <v>305</v>
      </c>
      <c r="BW274" s="25">
        <v>135</v>
      </c>
      <c r="CB274" s="25">
        <v>170</v>
      </c>
    </row>
    <row r="275" spans="23:80" ht="12">
      <c r="W275" s="22">
        <v>0.056</v>
      </c>
      <c r="X275" s="22">
        <v>135</v>
      </c>
      <c r="Y275" s="22">
        <v>96.4</v>
      </c>
      <c r="Z275" s="22">
        <v>113.17</v>
      </c>
      <c r="AA275" s="22">
        <v>120.93</v>
      </c>
      <c r="AB275" s="22">
        <v>131.2</v>
      </c>
      <c r="AC275" s="22">
        <v>90.65</v>
      </c>
      <c r="AE275" s="22">
        <v>137.25</v>
      </c>
      <c r="AF275" s="22">
        <v>54</v>
      </c>
      <c r="BN275" s="25">
        <v>0.056</v>
      </c>
      <c r="BO275" s="25">
        <v>300</v>
      </c>
      <c r="BP275" s="25">
        <v>240</v>
      </c>
      <c r="BQ275" s="25">
        <v>251.48</v>
      </c>
      <c r="BR275" s="25">
        <v>268.73</v>
      </c>
      <c r="BS275" s="25">
        <v>291.55</v>
      </c>
      <c r="BT275" s="25">
        <v>259</v>
      </c>
      <c r="BV275" s="25">
        <v>305</v>
      </c>
      <c r="BW275" s="25">
        <v>135</v>
      </c>
      <c r="CB275" s="25">
        <v>170</v>
      </c>
    </row>
    <row r="276" spans="23:80" ht="12">
      <c r="W276" s="22">
        <v>0.057</v>
      </c>
      <c r="X276" s="22">
        <v>135</v>
      </c>
      <c r="Y276" s="22">
        <v>96</v>
      </c>
      <c r="Z276" s="22">
        <v>112.84</v>
      </c>
      <c r="AA276" s="22">
        <v>120.61</v>
      </c>
      <c r="AB276" s="22">
        <v>131.1</v>
      </c>
      <c r="AC276" s="22">
        <v>90.3</v>
      </c>
      <c r="AE276" s="22">
        <v>137.25</v>
      </c>
      <c r="AF276" s="22">
        <v>54</v>
      </c>
      <c r="BN276" s="25">
        <v>0.057</v>
      </c>
      <c r="BO276" s="25">
        <v>300</v>
      </c>
      <c r="BP276" s="25">
        <v>240</v>
      </c>
      <c r="BQ276" s="25">
        <v>250.75</v>
      </c>
      <c r="BR276" s="25">
        <v>268.02</v>
      </c>
      <c r="BS276" s="25">
        <v>291.33</v>
      </c>
      <c r="BT276" s="25">
        <v>258</v>
      </c>
      <c r="BV276" s="25">
        <v>305</v>
      </c>
      <c r="BW276" s="25">
        <v>135</v>
      </c>
      <c r="CB276" s="25">
        <v>170</v>
      </c>
    </row>
    <row r="277" spans="23:80" ht="12">
      <c r="W277" s="22">
        <v>0.058</v>
      </c>
      <c r="X277" s="22">
        <v>135</v>
      </c>
      <c r="Y277" s="22">
        <v>96</v>
      </c>
      <c r="Z277" s="22">
        <v>112.5</v>
      </c>
      <c r="AA277" s="22">
        <v>120.32</v>
      </c>
      <c r="AB277" s="22">
        <v>131</v>
      </c>
      <c r="AC277" s="22">
        <v>90.3</v>
      </c>
      <c r="AE277" s="22">
        <v>137.25</v>
      </c>
      <c r="AF277" s="22">
        <v>54</v>
      </c>
      <c r="BN277" s="25">
        <v>0.058</v>
      </c>
      <c r="BO277" s="25">
        <v>300</v>
      </c>
      <c r="BP277" s="25">
        <v>239</v>
      </c>
      <c r="BQ277" s="25">
        <v>250</v>
      </c>
      <c r="BR277" s="25">
        <v>267.37</v>
      </c>
      <c r="BS277" s="25">
        <v>291.11</v>
      </c>
      <c r="BT277" s="25">
        <v>258</v>
      </c>
      <c r="BV277" s="25">
        <v>305</v>
      </c>
      <c r="BW277" s="25">
        <v>135</v>
      </c>
      <c r="CB277" s="25">
        <v>170</v>
      </c>
    </row>
    <row r="278" spans="23:80" ht="12">
      <c r="W278" s="22">
        <v>0.059000000000000004</v>
      </c>
      <c r="X278" s="22">
        <v>133.2</v>
      </c>
      <c r="Y278" s="22">
        <v>95.6</v>
      </c>
      <c r="Z278" s="22">
        <v>112.16</v>
      </c>
      <c r="AA278" s="22">
        <v>120.03</v>
      </c>
      <c r="AB278" s="22">
        <v>130.8</v>
      </c>
      <c r="AC278" s="22">
        <v>89.95</v>
      </c>
      <c r="AE278" s="22">
        <v>137.25</v>
      </c>
      <c r="AF278" s="22">
        <v>54</v>
      </c>
      <c r="BN278" s="25">
        <v>0.059</v>
      </c>
      <c r="BO278" s="25">
        <v>296</v>
      </c>
      <c r="BP278" s="25">
        <v>238</v>
      </c>
      <c r="BQ278" s="25">
        <v>249.24</v>
      </c>
      <c r="BR278" s="25">
        <v>266.73</v>
      </c>
      <c r="BS278" s="25">
        <v>290.66</v>
      </c>
      <c r="BT278" s="25">
        <v>257</v>
      </c>
      <c r="BV278" s="25">
        <v>305</v>
      </c>
      <c r="BW278" s="25">
        <v>135</v>
      </c>
      <c r="CB278" s="25">
        <v>170</v>
      </c>
    </row>
    <row r="279" spans="23:80" ht="12">
      <c r="W279" s="22">
        <v>0.06</v>
      </c>
      <c r="X279" s="22">
        <v>133.2</v>
      </c>
      <c r="Y279" s="22">
        <v>95.2</v>
      </c>
      <c r="Z279" s="22">
        <v>111.82</v>
      </c>
      <c r="AA279" s="22">
        <v>119.73</v>
      </c>
      <c r="AB279" s="22">
        <v>130.7</v>
      </c>
      <c r="AC279" s="22">
        <v>89.6</v>
      </c>
      <c r="AE279" s="22">
        <v>137.25</v>
      </c>
      <c r="AF279" s="22">
        <v>54</v>
      </c>
      <c r="BN279" s="25">
        <v>0.06</v>
      </c>
      <c r="BO279" s="25">
        <v>296</v>
      </c>
      <c r="BP279" s="25">
        <v>237</v>
      </c>
      <c r="BQ279" s="25">
        <v>248.48</v>
      </c>
      <c r="BR279" s="25">
        <v>266.06</v>
      </c>
      <c r="BS279" s="25">
        <v>290.44</v>
      </c>
      <c r="BT279" s="25">
        <v>256</v>
      </c>
      <c r="BV279" s="25">
        <v>305</v>
      </c>
      <c r="BW279" s="25">
        <v>135</v>
      </c>
      <c r="CB279" s="25">
        <v>170</v>
      </c>
    </row>
    <row r="280" spans="23:80" ht="12">
      <c r="W280" s="22">
        <v>0.061000000000000006</v>
      </c>
      <c r="X280" s="22">
        <v>133.2</v>
      </c>
      <c r="Y280" s="22">
        <v>94.8</v>
      </c>
      <c r="Z280" s="22">
        <v>111.48</v>
      </c>
      <c r="AA280" s="22">
        <v>119.44</v>
      </c>
      <c r="AB280" s="22">
        <v>130.6</v>
      </c>
      <c r="AC280" s="22">
        <v>89.25</v>
      </c>
      <c r="AE280" s="22">
        <v>137.25</v>
      </c>
      <c r="AF280" s="22">
        <v>54</v>
      </c>
      <c r="BN280" s="25">
        <v>0.061</v>
      </c>
      <c r="BO280" s="25">
        <v>296</v>
      </c>
      <c r="BP280" s="25">
        <v>237</v>
      </c>
      <c r="BQ280" s="25">
        <v>247.73</v>
      </c>
      <c r="BR280" s="25">
        <v>265.42</v>
      </c>
      <c r="BS280" s="25">
        <v>290.22</v>
      </c>
      <c r="BT280" s="25">
        <v>255</v>
      </c>
      <c r="BV280" s="25">
        <v>305</v>
      </c>
      <c r="BW280" s="25">
        <v>135</v>
      </c>
      <c r="CB280" s="25">
        <v>170</v>
      </c>
    </row>
    <row r="281" spans="23:80" ht="12">
      <c r="W281" s="22">
        <v>0.062</v>
      </c>
      <c r="X281" s="22">
        <v>133.2</v>
      </c>
      <c r="Y281" s="22">
        <v>94.8</v>
      </c>
      <c r="Z281" s="22">
        <v>111.15</v>
      </c>
      <c r="AA281" s="22">
        <v>119.15</v>
      </c>
      <c r="AB281" s="22">
        <v>130.5</v>
      </c>
      <c r="AC281" s="22">
        <v>89.25</v>
      </c>
      <c r="AE281" s="22">
        <v>133.65</v>
      </c>
      <c r="AF281" s="22">
        <v>54</v>
      </c>
      <c r="BN281" s="25">
        <v>0.062</v>
      </c>
      <c r="BO281" s="25">
        <v>296</v>
      </c>
      <c r="BP281" s="25">
        <v>236</v>
      </c>
      <c r="BQ281" s="25">
        <v>247</v>
      </c>
      <c r="BR281" s="25">
        <v>264.77</v>
      </c>
      <c r="BS281" s="25">
        <v>290</v>
      </c>
      <c r="BT281" s="25">
        <v>254</v>
      </c>
      <c r="BV281" s="25">
        <v>297</v>
      </c>
      <c r="BW281" s="25">
        <v>135</v>
      </c>
      <c r="CB281" s="25">
        <v>170</v>
      </c>
    </row>
    <row r="282" spans="23:80" ht="12">
      <c r="W282" s="22">
        <v>0.063</v>
      </c>
      <c r="X282" s="22">
        <v>131.85</v>
      </c>
      <c r="Y282" s="22">
        <v>94.4</v>
      </c>
      <c r="Z282" s="22">
        <v>110.88</v>
      </c>
      <c r="AA282" s="22">
        <v>118.85</v>
      </c>
      <c r="AB282" s="22">
        <v>130.35</v>
      </c>
      <c r="AC282" s="22">
        <v>88.9</v>
      </c>
      <c r="AE282" s="22">
        <v>133.65</v>
      </c>
      <c r="AF282" s="22">
        <v>52</v>
      </c>
      <c r="BN282" s="25">
        <v>0.063</v>
      </c>
      <c r="BO282" s="25">
        <v>293</v>
      </c>
      <c r="BP282" s="25">
        <v>235</v>
      </c>
      <c r="BQ282" s="25">
        <v>246.4</v>
      </c>
      <c r="BR282" s="25">
        <v>264.11</v>
      </c>
      <c r="BS282" s="25">
        <v>289.66</v>
      </c>
      <c r="BT282" s="25">
        <v>254</v>
      </c>
      <c r="BV282" s="25">
        <v>297</v>
      </c>
      <c r="BW282" s="25">
        <v>130</v>
      </c>
      <c r="CB282" s="25">
        <v>170</v>
      </c>
    </row>
    <row r="283" spans="23:80" ht="12">
      <c r="W283" s="22">
        <v>0.064</v>
      </c>
      <c r="X283" s="22">
        <v>131.85</v>
      </c>
      <c r="Y283" s="22">
        <v>94</v>
      </c>
      <c r="Z283" s="22">
        <v>110.61</v>
      </c>
      <c r="AA283" s="22">
        <v>118.56</v>
      </c>
      <c r="AB283" s="22">
        <v>130.2</v>
      </c>
      <c r="AC283" s="22">
        <v>88.9</v>
      </c>
      <c r="AE283" s="22">
        <v>133.65</v>
      </c>
      <c r="AF283" s="22">
        <v>52</v>
      </c>
      <c r="BN283" s="25">
        <v>0.064</v>
      </c>
      <c r="BO283" s="25">
        <v>293</v>
      </c>
      <c r="BP283" s="25">
        <v>235</v>
      </c>
      <c r="BQ283" s="25">
        <v>245.8</v>
      </c>
      <c r="BR283" s="25">
        <v>263.46</v>
      </c>
      <c r="BS283" s="25">
        <v>289.33</v>
      </c>
      <c r="BT283" s="25">
        <v>250</v>
      </c>
      <c r="BV283" s="25">
        <v>297</v>
      </c>
      <c r="BW283" s="25">
        <v>130</v>
      </c>
      <c r="CB283" s="25">
        <v>170</v>
      </c>
    </row>
    <row r="284" spans="23:80" ht="12">
      <c r="W284" s="22">
        <v>0.065</v>
      </c>
      <c r="X284" s="22">
        <v>131.85</v>
      </c>
      <c r="Y284" s="22">
        <v>94</v>
      </c>
      <c r="Z284" s="22">
        <v>110.34</v>
      </c>
      <c r="AA284" s="22">
        <v>118.27</v>
      </c>
      <c r="AB284" s="22">
        <v>130.05</v>
      </c>
      <c r="AC284" s="22">
        <v>88.9</v>
      </c>
      <c r="AE284" s="22">
        <v>133.65</v>
      </c>
      <c r="AF284" s="22">
        <v>52</v>
      </c>
      <c r="BN284" s="25">
        <v>0.065</v>
      </c>
      <c r="BO284" s="25">
        <v>293</v>
      </c>
      <c r="BP284" s="25">
        <v>234.5</v>
      </c>
      <c r="BQ284" s="25">
        <v>245.2</v>
      </c>
      <c r="BR284" s="25">
        <v>262.82</v>
      </c>
      <c r="BS284" s="25">
        <v>289</v>
      </c>
      <c r="BT284" s="25">
        <v>250</v>
      </c>
      <c r="BV284" s="25">
        <v>297</v>
      </c>
      <c r="BW284" s="25">
        <v>130</v>
      </c>
      <c r="CB284" s="25">
        <v>170</v>
      </c>
    </row>
    <row r="285" spans="23:80" ht="12">
      <c r="W285" s="22">
        <v>0.066</v>
      </c>
      <c r="X285" s="22">
        <v>130.5</v>
      </c>
      <c r="Y285" s="22">
        <v>93.8</v>
      </c>
      <c r="Z285" s="22">
        <v>110.07</v>
      </c>
      <c r="AA285" s="22">
        <v>117.97</v>
      </c>
      <c r="AB285" s="22">
        <v>129.9</v>
      </c>
      <c r="AC285" s="22">
        <v>87.5</v>
      </c>
      <c r="AE285" s="22">
        <v>133.65</v>
      </c>
      <c r="AF285" s="22">
        <v>52</v>
      </c>
      <c r="BN285" s="25">
        <v>0.066</v>
      </c>
      <c r="BO285" s="25">
        <v>290</v>
      </c>
      <c r="BP285" s="25">
        <v>234</v>
      </c>
      <c r="BQ285" s="25">
        <v>244.6</v>
      </c>
      <c r="BR285" s="25">
        <v>262.15</v>
      </c>
      <c r="BS285" s="25">
        <v>288.66</v>
      </c>
      <c r="BT285" s="25">
        <v>250</v>
      </c>
      <c r="BV285" s="25">
        <v>297</v>
      </c>
      <c r="BW285" s="25">
        <v>130</v>
      </c>
      <c r="CB285" s="25">
        <v>170</v>
      </c>
    </row>
    <row r="286" spans="23:80" ht="12">
      <c r="W286" s="22">
        <v>0.067</v>
      </c>
      <c r="X286" s="22">
        <v>130.5</v>
      </c>
      <c r="Y286" s="22">
        <v>93.6</v>
      </c>
      <c r="Z286" s="22">
        <v>109.8</v>
      </c>
      <c r="AA286" s="22">
        <v>117.68</v>
      </c>
      <c r="AB286" s="22">
        <v>129.75</v>
      </c>
      <c r="AC286" s="22">
        <v>87.5</v>
      </c>
      <c r="AE286" s="22">
        <v>133.65</v>
      </c>
      <c r="AF286" s="22">
        <v>52</v>
      </c>
      <c r="BN286" s="25">
        <v>0.067</v>
      </c>
      <c r="BO286" s="25">
        <v>290</v>
      </c>
      <c r="BP286" s="25">
        <v>233</v>
      </c>
      <c r="BQ286" s="25">
        <v>244</v>
      </c>
      <c r="BR286" s="25">
        <v>261.51</v>
      </c>
      <c r="BS286" s="25">
        <v>288.33</v>
      </c>
      <c r="BT286" s="25">
        <v>250</v>
      </c>
      <c r="BV286" s="25">
        <v>297</v>
      </c>
      <c r="BW286" s="25">
        <v>130</v>
      </c>
      <c r="CB286" s="25">
        <v>170</v>
      </c>
    </row>
    <row r="287" spans="23:80" ht="12">
      <c r="W287" s="22">
        <v>0.069</v>
      </c>
      <c r="X287" s="22">
        <v>130.5</v>
      </c>
      <c r="Y287" s="22">
        <v>93.2</v>
      </c>
      <c r="Z287" s="22">
        <v>109.53</v>
      </c>
      <c r="AA287" s="22">
        <v>117.39</v>
      </c>
      <c r="AB287" s="22">
        <v>129.6</v>
      </c>
      <c r="AC287" s="22">
        <v>87.5</v>
      </c>
      <c r="AE287" s="22">
        <v>133.65</v>
      </c>
      <c r="AF287" s="22">
        <v>52</v>
      </c>
      <c r="BN287" s="25">
        <v>0.069</v>
      </c>
      <c r="BO287" s="25">
        <v>290</v>
      </c>
      <c r="BP287" s="25">
        <v>232.8</v>
      </c>
      <c r="BQ287" s="25">
        <v>243.4</v>
      </c>
      <c r="BR287" s="25">
        <v>260.64</v>
      </c>
      <c r="BS287" s="25">
        <v>288</v>
      </c>
      <c r="BT287" s="25">
        <v>250</v>
      </c>
      <c r="BV287" s="25">
        <v>297</v>
      </c>
      <c r="BW287" s="25">
        <v>130</v>
      </c>
      <c r="CB287" s="25">
        <v>170</v>
      </c>
    </row>
    <row r="288" spans="23:80" ht="12">
      <c r="W288" s="22">
        <v>0.07</v>
      </c>
      <c r="X288" s="22">
        <v>130.05</v>
      </c>
      <c r="Y288" s="22">
        <v>93</v>
      </c>
      <c r="Z288" s="22">
        <v>109.26</v>
      </c>
      <c r="AA288" s="22">
        <v>117.09</v>
      </c>
      <c r="AB288" s="22">
        <v>129.45</v>
      </c>
      <c r="AC288" s="22">
        <v>87.5</v>
      </c>
      <c r="AE288" s="22">
        <v>133.65</v>
      </c>
      <c r="AF288" s="22">
        <v>52</v>
      </c>
      <c r="BN288" s="25">
        <v>0.07</v>
      </c>
      <c r="BO288" s="25">
        <v>289</v>
      </c>
      <c r="BP288" s="25">
        <v>232.5</v>
      </c>
      <c r="BQ288" s="25">
        <v>242.8</v>
      </c>
      <c r="BR288" s="25">
        <v>260.2</v>
      </c>
      <c r="BS288" s="25">
        <v>287.6</v>
      </c>
      <c r="BT288" s="25">
        <v>250</v>
      </c>
      <c r="BV288" s="25">
        <v>297</v>
      </c>
      <c r="BW288" s="25">
        <v>130</v>
      </c>
      <c r="CB288" s="25">
        <v>170</v>
      </c>
    </row>
    <row r="289" spans="23:80" ht="12">
      <c r="W289" s="22">
        <v>0.07100000000000001</v>
      </c>
      <c r="X289" s="22">
        <v>129.5</v>
      </c>
      <c r="Y289" s="22">
        <v>92.9</v>
      </c>
      <c r="Z289" s="22">
        <v>108.99</v>
      </c>
      <c r="AA289" s="22">
        <v>116.8</v>
      </c>
      <c r="AB289" s="22">
        <v>129.3</v>
      </c>
      <c r="AC289" s="22">
        <v>87.5</v>
      </c>
      <c r="AE289" s="22">
        <v>133.65</v>
      </c>
      <c r="AF289" s="22">
        <v>52</v>
      </c>
      <c r="BN289" s="25">
        <v>0.071</v>
      </c>
      <c r="BO289" s="25">
        <v>288</v>
      </c>
      <c r="BP289" s="25">
        <v>232.2</v>
      </c>
      <c r="BQ289" s="25">
        <v>242.2</v>
      </c>
      <c r="BR289" s="25">
        <v>259.55</v>
      </c>
      <c r="BS289" s="25">
        <v>287.33</v>
      </c>
      <c r="BT289" s="25">
        <v>250</v>
      </c>
      <c r="BV289" s="25">
        <v>297</v>
      </c>
      <c r="BW289" s="25">
        <v>130</v>
      </c>
      <c r="CB289" s="25">
        <v>170</v>
      </c>
    </row>
    <row r="290" spans="23:80" ht="12">
      <c r="W290" s="22">
        <v>0.07200000000000001</v>
      </c>
      <c r="X290" s="22">
        <v>129.5</v>
      </c>
      <c r="Y290" s="22">
        <v>92.8</v>
      </c>
      <c r="Z290" s="22">
        <v>108.45</v>
      </c>
      <c r="AA290" s="22">
        <v>116.51</v>
      </c>
      <c r="AB290" s="22">
        <v>129.15</v>
      </c>
      <c r="AC290" s="22">
        <v>87.5</v>
      </c>
      <c r="AE290" s="22">
        <v>131.4</v>
      </c>
      <c r="AF290" s="22">
        <v>52</v>
      </c>
      <c r="BN290" s="25">
        <v>0.072</v>
      </c>
      <c r="BO290" s="25">
        <v>287</v>
      </c>
      <c r="BP290" s="25">
        <v>232</v>
      </c>
      <c r="BQ290" s="25">
        <v>241</v>
      </c>
      <c r="BR290" s="25">
        <v>258.91</v>
      </c>
      <c r="BS290" s="25">
        <v>287</v>
      </c>
      <c r="BT290" s="25">
        <v>250</v>
      </c>
      <c r="BV290" s="25">
        <v>292</v>
      </c>
      <c r="BW290" s="25">
        <v>130</v>
      </c>
      <c r="CB290" s="25">
        <v>170</v>
      </c>
    </row>
    <row r="291" spans="23:80" ht="12">
      <c r="W291" s="22">
        <v>0.074</v>
      </c>
      <c r="X291" s="22">
        <v>129.15</v>
      </c>
      <c r="Y291" s="22">
        <v>92.4</v>
      </c>
      <c r="Z291" s="22">
        <v>108</v>
      </c>
      <c r="AA291" s="22">
        <v>116.21</v>
      </c>
      <c r="AB291" s="22">
        <v>129</v>
      </c>
      <c r="AC291" s="22">
        <v>87.5</v>
      </c>
      <c r="AE291" s="22">
        <v>131.4</v>
      </c>
      <c r="AF291" s="22">
        <v>52</v>
      </c>
      <c r="BN291" s="25">
        <v>0.074</v>
      </c>
      <c r="BO291" s="25">
        <v>287</v>
      </c>
      <c r="BP291" s="25">
        <v>231</v>
      </c>
      <c r="BQ291" s="25">
        <v>240</v>
      </c>
      <c r="BR291" s="25">
        <v>258.24</v>
      </c>
      <c r="BS291" s="25">
        <v>286.66</v>
      </c>
      <c r="BT291" s="25">
        <v>250</v>
      </c>
      <c r="BV291" s="25">
        <v>292</v>
      </c>
      <c r="BW291" s="25">
        <v>130</v>
      </c>
      <c r="CB291" s="25">
        <v>170</v>
      </c>
    </row>
    <row r="292" spans="23:80" ht="12">
      <c r="W292" s="22">
        <v>0.075</v>
      </c>
      <c r="X292" s="22">
        <v>129.15</v>
      </c>
      <c r="Y292" s="22">
        <v>92.2</v>
      </c>
      <c r="Z292" s="22">
        <v>107.55</v>
      </c>
      <c r="AA292" s="22">
        <v>115.92</v>
      </c>
      <c r="AB292" s="22">
        <v>128.85</v>
      </c>
      <c r="AC292" s="22">
        <v>87.5</v>
      </c>
      <c r="AE292" s="22">
        <v>131.4</v>
      </c>
      <c r="AF292" s="22">
        <v>52</v>
      </c>
      <c r="BN292" s="25">
        <v>0.075</v>
      </c>
      <c r="BO292" s="25">
        <v>287</v>
      </c>
      <c r="BP292" s="25">
        <v>230.5</v>
      </c>
      <c r="BQ292" s="25">
        <v>239</v>
      </c>
      <c r="BR292" s="25">
        <v>257.6</v>
      </c>
      <c r="BS292" s="25">
        <v>286.33</v>
      </c>
      <c r="BT292" s="25">
        <v>250</v>
      </c>
      <c r="BV292" s="25">
        <v>292</v>
      </c>
      <c r="BW292" s="25">
        <v>130</v>
      </c>
      <c r="CB292" s="25">
        <v>170</v>
      </c>
    </row>
    <row r="293" spans="23:80" ht="12">
      <c r="W293" s="22">
        <v>0.076</v>
      </c>
      <c r="X293" s="22">
        <v>127.8</v>
      </c>
      <c r="Y293" s="22">
        <v>92</v>
      </c>
      <c r="Z293" s="22">
        <v>107.1</v>
      </c>
      <c r="AA293" s="22">
        <v>115.63</v>
      </c>
      <c r="AB293" s="22">
        <v>128.7</v>
      </c>
      <c r="AC293" s="22">
        <v>85.75</v>
      </c>
      <c r="AE293" s="22">
        <v>131.4</v>
      </c>
      <c r="AF293" s="22">
        <v>52</v>
      </c>
      <c r="BN293" s="25">
        <v>0.076</v>
      </c>
      <c r="BO293" s="25">
        <v>284</v>
      </c>
      <c r="BP293" s="25">
        <v>230</v>
      </c>
      <c r="BQ293" s="25">
        <v>238</v>
      </c>
      <c r="BR293" s="25">
        <v>256.95</v>
      </c>
      <c r="BS293" s="25">
        <v>286</v>
      </c>
      <c r="BT293" s="25">
        <v>245</v>
      </c>
      <c r="BV293" s="25">
        <v>292</v>
      </c>
      <c r="BW293" s="25">
        <v>130</v>
      </c>
      <c r="CB293" s="25">
        <v>170</v>
      </c>
    </row>
    <row r="294" spans="23:80" ht="12">
      <c r="W294" s="22">
        <v>0.078</v>
      </c>
      <c r="X294" s="22">
        <v>127.8</v>
      </c>
      <c r="Y294" s="22">
        <v>91.6</v>
      </c>
      <c r="Z294" s="22">
        <v>106.65</v>
      </c>
      <c r="AA294" s="22">
        <v>115.33</v>
      </c>
      <c r="AB294" s="22">
        <v>128.55</v>
      </c>
      <c r="AC294" s="22">
        <v>85.75</v>
      </c>
      <c r="AE294" s="22">
        <v>131.4</v>
      </c>
      <c r="AF294" s="22">
        <v>52</v>
      </c>
      <c r="BN294" s="25">
        <v>0.078</v>
      </c>
      <c r="BO294" s="25">
        <v>284</v>
      </c>
      <c r="BP294" s="25">
        <v>229</v>
      </c>
      <c r="BQ294" s="25">
        <v>237</v>
      </c>
      <c r="BR294" s="25">
        <v>256.28</v>
      </c>
      <c r="BS294" s="25">
        <v>285.66</v>
      </c>
      <c r="BT294" s="25">
        <v>245</v>
      </c>
      <c r="BV294" s="25">
        <v>292</v>
      </c>
      <c r="BW294" s="25">
        <v>130</v>
      </c>
      <c r="CB294" s="25">
        <v>170</v>
      </c>
    </row>
    <row r="295" spans="23:80" ht="12">
      <c r="W295" s="22">
        <v>0.079</v>
      </c>
      <c r="X295" s="22">
        <v>127.8</v>
      </c>
      <c r="Y295" s="22">
        <v>91.2</v>
      </c>
      <c r="Z295" s="22">
        <v>106.2</v>
      </c>
      <c r="AA295" s="22">
        <v>115.04</v>
      </c>
      <c r="AB295" s="22">
        <v>128.4</v>
      </c>
      <c r="AC295" s="22">
        <v>85.75</v>
      </c>
      <c r="AE295" s="22">
        <v>131.4</v>
      </c>
      <c r="AF295" s="22">
        <v>52</v>
      </c>
      <c r="BN295" s="25">
        <v>0.079</v>
      </c>
      <c r="BO295" s="25">
        <v>84</v>
      </c>
      <c r="BP295" s="25">
        <v>228</v>
      </c>
      <c r="BQ295" s="25">
        <v>236</v>
      </c>
      <c r="BR295" s="25">
        <v>255.64</v>
      </c>
      <c r="BS295" s="25">
        <v>285.33</v>
      </c>
      <c r="BT295" s="25">
        <v>245</v>
      </c>
      <c r="BV295" s="25">
        <v>292</v>
      </c>
      <c r="BW295" s="25">
        <v>130</v>
      </c>
      <c r="CB295" s="25">
        <v>170</v>
      </c>
    </row>
    <row r="296" spans="23:80" ht="12">
      <c r="W296" s="22">
        <v>0.08</v>
      </c>
      <c r="X296" s="22">
        <v>126.9</v>
      </c>
      <c r="Y296" s="22">
        <v>90.8</v>
      </c>
      <c r="Z296" s="22">
        <v>105.75</v>
      </c>
      <c r="AA296" s="22">
        <v>114.75</v>
      </c>
      <c r="AB296" s="22">
        <v>128.25</v>
      </c>
      <c r="AC296" s="22">
        <v>85.75</v>
      </c>
      <c r="AE296" s="22">
        <v>131.4</v>
      </c>
      <c r="AF296" s="22">
        <v>52</v>
      </c>
      <c r="BN296" s="25">
        <v>0.08</v>
      </c>
      <c r="BO296" s="25">
        <v>282</v>
      </c>
      <c r="BP296" s="25">
        <v>227</v>
      </c>
      <c r="BQ296" s="25">
        <v>235</v>
      </c>
      <c r="BR296" s="25">
        <v>255</v>
      </c>
      <c r="BS296" s="25">
        <v>285</v>
      </c>
      <c r="BT296" s="25">
        <v>245</v>
      </c>
      <c r="BV296" s="25">
        <v>292</v>
      </c>
      <c r="BW296" s="25">
        <v>130</v>
      </c>
      <c r="CB296" s="25">
        <v>170</v>
      </c>
    </row>
    <row r="297" spans="23:80" ht="12">
      <c r="W297" s="22">
        <v>0.083</v>
      </c>
      <c r="X297" s="22">
        <v>126.9</v>
      </c>
      <c r="Y297" s="22">
        <v>90.6</v>
      </c>
      <c r="Z297" s="22">
        <v>105.37</v>
      </c>
      <c r="AA297" s="22">
        <v>114.05</v>
      </c>
      <c r="AB297" s="22">
        <v>127.92</v>
      </c>
      <c r="AC297" s="22">
        <v>85.75</v>
      </c>
      <c r="AE297" s="22">
        <v>130</v>
      </c>
      <c r="AF297" s="22">
        <v>52</v>
      </c>
      <c r="BN297" s="25">
        <v>0.083</v>
      </c>
      <c r="BO297" s="25">
        <v>282</v>
      </c>
      <c r="BP297" s="25">
        <v>226.3</v>
      </c>
      <c r="BQ297" s="25">
        <v>234.15</v>
      </c>
      <c r="BR297" s="25">
        <v>253044</v>
      </c>
      <c r="BS297" s="25">
        <v>284.26</v>
      </c>
      <c r="BT297" s="25">
        <v>245</v>
      </c>
      <c r="BV297" s="25">
        <v>292</v>
      </c>
      <c r="BW297" s="25">
        <v>130</v>
      </c>
      <c r="CB297" s="25">
        <v>0</v>
      </c>
    </row>
    <row r="298" spans="23:75" ht="12">
      <c r="W298" s="22">
        <v>0.084</v>
      </c>
      <c r="X298" s="22">
        <v>125.55</v>
      </c>
      <c r="Y298" s="22">
        <v>90.3</v>
      </c>
      <c r="Z298" s="22">
        <v>105</v>
      </c>
      <c r="AA298" s="22">
        <v>113.88</v>
      </c>
      <c r="AB298" s="22">
        <v>127.6</v>
      </c>
      <c r="AC298" s="22">
        <v>85.75</v>
      </c>
      <c r="AE298" s="22">
        <v>129</v>
      </c>
      <c r="AF298" s="22">
        <v>52</v>
      </c>
      <c r="BN298" s="25">
        <v>0.084</v>
      </c>
      <c r="BO298" s="25">
        <v>279</v>
      </c>
      <c r="BP298" s="25">
        <v>225.7</v>
      </c>
      <c r="BQ298" s="25">
        <v>233.33</v>
      </c>
      <c r="BR298" s="25">
        <v>253.06</v>
      </c>
      <c r="BS298" s="25">
        <v>283.55</v>
      </c>
      <c r="BT298" s="25">
        <v>245</v>
      </c>
      <c r="BV298" s="25">
        <v>292</v>
      </c>
      <c r="BW298" s="25">
        <v>130</v>
      </c>
    </row>
    <row r="299" spans="23:75" ht="12">
      <c r="W299" s="22">
        <v>0.085</v>
      </c>
      <c r="X299" s="22">
        <v>125.55</v>
      </c>
      <c r="Y299" s="22">
        <v>90</v>
      </c>
      <c r="Z299" s="22">
        <v>104.62</v>
      </c>
      <c r="AA299" s="22">
        <v>113.71</v>
      </c>
      <c r="AB299" s="22">
        <v>127.28</v>
      </c>
      <c r="AC299" s="22">
        <v>85.75</v>
      </c>
      <c r="AE299" s="22">
        <v>129</v>
      </c>
      <c r="AF299" s="22">
        <v>52</v>
      </c>
      <c r="BN299" s="25">
        <v>0.085</v>
      </c>
      <c r="BO299" s="25">
        <v>279</v>
      </c>
      <c r="BP299" s="25">
        <v>225</v>
      </c>
      <c r="BQ299" s="25">
        <v>232.48</v>
      </c>
      <c r="BR299" s="25">
        <v>252.68</v>
      </c>
      <c r="BS299" s="25">
        <v>282.84</v>
      </c>
      <c r="BT299" s="25">
        <v>245</v>
      </c>
      <c r="BV299" s="25">
        <v>292</v>
      </c>
      <c r="BW299" s="25">
        <v>130</v>
      </c>
    </row>
    <row r="300" spans="23:75" ht="12">
      <c r="W300" s="22">
        <v>0.089</v>
      </c>
      <c r="X300" s="22">
        <v>125.55</v>
      </c>
      <c r="Y300" s="22">
        <v>89.4</v>
      </c>
      <c r="Z300" s="22">
        <v>104.25</v>
      </c>
      <c r="AA300" s="22">
        <v>113.02</v>
      </c>
      <c r="AB300" s="22">
        <v>126.96</v>
      </c>
      <c r="AC300" s="22">
        <v>85.75</v>
      </c>
      <c r="AE300" s="22">
        <v>128</v>
      </c>
      <c r="AF300" s="22">
        <v>52</v>
      </c>
      <c r="BN300" s="25">
        <v>0.089</v>
      </c>
      <c r="BO300" s="25">
        <v>279</v>
      </c>
      <c r="BP300" s="25">
        <v>223.5</v>
      </c>
      <c r="BQ300" s="25">
        <v>231.66</v>
      </c>
      <c r="BR300" s="25">
        <v>251.15</v>
      </c>
      <c r="BS300" s="25">
        <v>282.13</v>
      </c>
      <c r="BT300" s="25">
        <v>245</v>
      </c>
      <c r="BV300" s="25">
        <v>286</v>
      </c>
      <c r="BW300" s="25">
        <v>130</v>
      </c>
    </row>
    <row r="301" spans="23:75" ht="12">
      <c r="W301" s="22">
        <v>0.09</v>
      </c>
      <c r="X301" s="22">
        <v>124.2</v>
      </c>
      <c r="Y301" s="22">
        <v>88.9</v>
      </c>
      <c r="Z301" s="22">
        <v>103.87</v>
      </c>
      <c r="AA301" s="22">
        <v>112.84</v>
      </c>
      <c r="AB301" s="22">
        <v>126.64</v>
      </c>
      <c r="AC301" s="22">
        <v>85.75</v>
      </c>
      <c r="AE301" s="22">
        <v>127</v>
      </c>
      <c r="AF301" s="22">
        <v>52</v>
      </c>
      <c r="BN301" s="25">
        <v>0.09</v>
      </c>
      <c r="BO301" s="25">
        <v>276</v>
      </c>
      <c r="BP301" s="25">
        <v>222</v>
      </c>
      <c r="BQ301" s="25">
        <v>230.82</v>
      </c>
      <c r="BR301" s="25">
        <v>250.75</v>
      </c>
      <c r="BS301" s="25">
        <v>281.42</v>
      </c>
      <c r="BT301" s="25">
        <v>245</v>
      </c>
      <c r="BV301" s="25">
        <v>283</v>
      </c>
      <c r="BW301" s="25">
        <v>130</v>
      </c>
    </row>
    <row r="302" spans="23:75" ht="12">
      <c r="W302" s="22">
        <v>0.091</v>
      </c>
      <c r="X302" s="22">
        <v>124.2</v>
      </c>
      <c r="Y302" s="22">
        <v>88.4</v>
      </c>
      <c r="Z302" s="22">
        <v>103.5</v>
      </c>
      <c r="AA302" s="22">
        <v>112.67</v>
      </c>
      <c r="AB302" s="22">
        <v>126.32</v>
      </c>
      <c r="AC302" s="22">
        <v>85.75</v>
      </c>
      <c r="AE302" s="22">
        <v>126</v>
      </c>
      <c r="AF302" s="22">
        <v>52</v>
      </c>
      <c r="BN302" s="25">
        <v>0.091</v>
      </c>
      <c r="BO302" s="25">
        <v>276</v>
      </c>
      <c r="BP302" s="25">
        <v>221</v>
      </c>
      <c r="BQ302" s="25">
        <v>230</v>
      </c>
      <c r="BR302" s="25">
        <v>250.37</v>
      </c>
      <c r="BS302" s="25">
        <v>280.71</v>
      </c>
      <c r="BT302" s="25">
        <v>245</v>
      </c>
      <c r="BV302" s="25">
        <v>280</v>
      </c>
      <c r="BW302" s="25">
        <v>130</v>
      </c>
    </row>
    <row r="303" spans="23:75" ht="12">
      <c r="W303" s="22">
        <v>0.092</v>
      </c>
      <c r="X303" s="22">
        <v>124.2</v>
      </c>
      <c r="Y303" s="22">
        <v>88</v>
      </c>
      <c r="Z303" s="22">
        <v>103.25</v>
      </c>
      <c r="AA303" s="22">
        <v>112.5</v>
      </c>
      <c r="AB303" s="22">
        <v>126</v>
      </c>
      <c r="AC303" s="22">
        <v>85.75</v>
      </c>
      <c r="AE303" s="22">
        <v>125.55</v>
      </c>
      <c r="AF303" s="22">
        <v>52</v>
      </c>
      <c r="BN303" s="25">
        <v>0.092</v>
      </c>
      <c r="BO303" s="25">
        <v>276</v>
      </c>
      <c r="BP303" s="25">
        <v>220</v>
      </c>
      <c r="BQ303" s="25">
        <v>229.44</v>
      </c>
      <c r="BR303" s="25">
        <v>250</v>
      </c>
      <c r="BS303" s="25">
        <v>280</v>
      </c>
      <c r="BT303" s="25">
        <v>245</v>
      </c>
      <c r="BV303" s="25">
        <v>279</v>
      </c>
      <c r="BW303" s="25">
        <v>130</v>
      </c>
    </row>
    <row r="304" spans="23:75" ht="12">
      <c r="W304" s="22">
        <v>0.093</v>
      </c>
      <c r="X304" s="22">
        <v>124.2</v>
      </c>
      <c r="Y304" s="22">
        <v>87.9</v>
      </c>
      <c r="Z304" s="22">
        <v>103</v>
      </c>
      <c r="AA304" s="22">
        <v>112.32</v>
      </c>
      <c r="AB304" s="22">
        <v>125.92</v>
      </c>
      <c r="AC304" s="22">
        <v>85.4</v>
      </c>
      <c r="AE304" s="22">
        <v>125.3</v>
      </c>
      <c r="AF304" s="22">
        <v>52</v>
      </c>
      <c r="BN304" s="25">
        <v>0.093</v>
      </c>
      <c r="BO304" s="25">
        <v>276</v>
      </c>
      <c r="BP304" s="25">
        <v>219.7</v>
      </c>
      <c r="BQ304" s="25">
        <v>228.88</v>
      </c>
      <c r="BR304" s="25">
        <v>249.6</v>
      </c>
      <c r="BS304" s="25">
        <v>279.82</v>
      </c>
      <c r="BT304" s="25">
        <v>240</v>
      </c>
      <c r="BV304" s="25">
        <v>279</v>
      </c>
      <c r="BW304" s="25">
        <v>130</v>
      </c>
    </row>
    <row r="305" spans="23:75" ht="12">
      <c r="W305" s="22">
        <v>0.094</v>
      </c>
      <c r="X305" s="22">
        <v>123.3</v>
      </c>
      <c r="Y305" s="22">
        <v>87.75</v>
      </c>
      <c r="Z305" s="22">
        <v>102.75</v>
      </c>
      <c r="AA305" s="22">
        <v>112.15</v>
      </c>
      <c r="AB305" s="22">
        <v>125.84</v>
      </c>
      <c r="AC305" s="22">
        <v>85.05</v>
      </c>
      <c r="AE305" s="22">
        <v>125</v>
      </c>
      <c r="AF305" s="22">
        <v>52</v>
      </c>
      <c r="BN305" s="25">
        <v>0.094</v>
      </c>
      <c r="BO305" s="25">
        <v>274</v>
      </c>
      <c r="BP305" s="25">
        <v>219.3</v>
      </c>
      <c r="BQ305" s="25">
        <v>228.33</v>
      </c>
      <c r="BR305" s="25">
        <v>249.22</v>
      </c>
      <c r="BS305" s="25">
        <v>279.64</v>
      </c>
      <c r="BT305" s="25">
        <v>240</v>
      </c>
      <c r="BV305" s="25">
        <v>279</v>
      </c>
      <c r="BW305" s="25">
        <v>130</v>
      </c>
    </row>
    <row r="306" spans="23:75" ht="12">
      <c r="W306" s="22">
        <v>0.095</v>
      </c>
      <c r="X306" s="22">
        <v>123.3</v>
      </c>
      <c r="Y306" s="22">
        <v>87.6</v>
      </c>
      <c r="Z306" s="22">
        <v>102.5</v>
      </c>
      <c r="AA306" s="22">
        <v>111.98</v>
      </c>
      <c r="AB306" s="22">
        <v>125.52</v>
      </c>
      <c r="AC306" s="22">
        <v>84.7</v>
      </c>
      <c r="AE306" s="22">
        <v>124.8</v>
      </c>
      <c r="AF306" s="22">
        <v>52</v>
      </c>
      <c r="BN306" s="25">
        <v>0.095</v>
      </c>
      <c r="BO306" s="25">
        <v>274</v>
      </c>
      <c r="BP306" s="25">
        <v>219</v>
      </c>
      <c r="BQ306" s="25">
        <v>227.77</v>
      </c>
      <c r="BR306" s="25">
        <v>248.84</v>
      </c>
      <c r="BS306" s="25">
        <v>278.93</v>
      </c>
      <c r="BT306" s="25">
        <v>240</v>
      </c>
      <c r="BV306" s="25">
        <v>279</v>
      </c>
      <c r="BW306" s="25">
        <v>130</v>
      </c>
    </row>
    <row r="307" spans="23:75" ht="12">
      <c r="W307" s="22">
        <v>0.099</v>
      </c>
      <c r="X307" s="22">
        <v>121.95</v>
      </c>
      <c r="Y307" s="22">
        <v>87.3</v>
      </c>
      <c r="Z307" s="22">
        <v>102.25</v>
      </c>
      <c r="AA307" s="22">
        <v>111.28</v>
      </c>
      <c r="AB307" s="22">
        <v>125.2</v>
      </c>
      <c r="AC307" s="22">
        <v>83.3</v>
      </c>
      <c r="AE307" s="22">
        <v>124</v>
      </c>
      <c r="AF307" s="22">
        <v>52</v>
      </c>
      <c r="BN307" s="25">
        <v>0.099</v>
      </c>
      <c r="BO307" s="25">
        <v>274</v>
      </c>
      <c r="BP307" s="25">
        <v>218.25</v>
      </c>
      <c r="BQ307" s="25">
        <v>227.22</v>
      </c>
      <c r="BR307" s="25">
        <v>247.28</v>
      </c>
      <c r="BS307" s="25">
        <v>278.22</v>
      </c>
      <c r="BT307" s="25">
        <v>240</v>
      </c>
      <c r="BV307" s="25">
        <v>278</v>
      </c>
      <c r="BW307" s="25">
        <v>130</v>
      </c>
    </row>
    <row r="308" spans="23:75" ht="12">
      <c r="W308" s="22">
        <v>0.1</v>
      </c>
      <c r="X308" s="22">
        <v>121.95</v>
      </c>
      <c r="Y308" s="22">
        <v>87</v>
      </c>
      <c r="Z308" s="22">
        <v>102</v>
      </c>
      <c r="AA308" s="22">
        <v>111.11</v>
      </c>
      <c r="AB308" s="22">
        <v>125.12</v>
      </c>
      <c r="AC308" s="22">
        <v>82.95</v>
      </c>
      <c r="AE308" s="22">
        <v>123.8</v>
      </c>
      <c r="AF308" s="22">
        <v>52</v>
      </c>
      <c r="BN308" s="25">
        <v>0.1</v>
      </c>
      <c r="BO308" s="25">
        <v>271</v>
      </c>
      <c r="BP308" s="25">
        <v>217.5</v>
      </c>
      <c r="BQ308" s="25">
        <v>226.66</v>
      </c>
      <c r="BR308" s="25">
        <v>246.91</v>
      </c>
      <c r="BS308" s="25">
        <v>278.04</v>
      </c>
      <c r="BT308" s="25">
        <v>240</v>
      </c>
      <c r="BV308" s="25">
        <v>277</v>
      </c>
      <c r="BW308" s="25">
        <v>130</v>
      </c>
    </row>
    <row r="309" spans="23:75" ht="12">
      <c r="W309" s="22">
        <v>0.101</v>
      </c>
      <c r="X309" s="22">
        <v>121.95</v>
      </c>
      <c r="Y309" s="22">
        <v>86.7</v>
      </c>
      <c r="Z309" s="22">
        <v>101.75</v>
      </c>
      <c r="AA309" s="22">
        <v>110.94</v>
      </c>
      <c r="AB309" s="22">
        <v>125.04</v>
      </c>
      <c r="AC309" s="22">
        <v>82.6</v>
      </c>
      <c r="AE309" s="22">
        <v>123.6</v>
      </c>
      <c r="AF309" s="22">
        <v>52</v>
      </c>
      <c r="BN309" s="25">
        <v>0.101</v>
      </c>
      <c r="BO309" s="25">
        <v>271</v>
      </c>
      <c r="BP309" s="25">
        <v>216.75</v>
      </c>
      <c r="BQ309" s="25">
        <v>226.11</v>
      </c>
      <c r="BR309" s="25">
        <v>246.63</v>
      </c>
      <c r="BS309" s="25">
        <v>277.86</v>
      </c>
      <c r="BT309" s="25">
        <v>240</v>
      </c>
      <c r="BV309" s="25">
        <v>276</v>
      </c>
      <c r="BW309" s="25">
        <v>130</v>
      </c>
    </row>
    <row r="310" spans="23:75" ht="12">
      <c r="W310" s="22">
        <v>0.10200000000000001</v>
      </c>
      <c r="X310" s="22">
        <v>121.5</v>
      </c>
      <c r="Y310" s="22">
        <v>86.6</v>
      </c>
      <c r="Z310" s="22">
        <v>101.5</v>
      </c>
      <c r="AA310" s="22">
        <v>110.76</v>
      </c>
      <c r="AB310" s="22">
        <v>124.96</v>
      </c>
      <c r="AC310" s="22">
        <v>82.25</v>
      </c>
      <c r="AE310" s="22">
        <v>123.5</v>
      </c>
      <c r="AF310" s="22">
        <v>52</v>
      </c>
      <c r="BN310" s="25">
        <v>0.102</v>
      </c>
      <c r="BO310" s="25">
        <v>270</v>
      </c>
      <c r="BP310" s="25">
        <v>216.5</v>
      </c>
      <c r="BQ310" s="25">
        <v>225.55</v>
      </c>
      <c r="BR310" s="25">
        <v>246.13</v>
      </c>
      <c r="BS310" s="25">
        <v>277.68</v>
      </c>
      <c r="BT310" s="25">
        <v>240</v>
      </c>
      <c r="BV310" s="25">
        <v>275</v>
      </c>
      <c r="BW310" s="25">
        <v>130</v>
      </c>
    </row>
    <row r="311" spans="23:75" ht="12">
      <c r="W311" s="22">
        <v>0.105</v>
      </c>
      <c r="X311" s="22">
        <v>121.5</v>
      </c>
      <c r="Y311" s="22">
        <v>86.4</v>
      </c>
      <c r="Z311" s="22">
        <v>101.25</v>
      </c>
      <c r="AA311" s="22">
        <v>110.25</v>
      </c>
      <c r="AB311" s="22">
        <v>124.78</v>
      </c>
      <c r="AC311" s="22">
        <v>81.2</v>
      </c>
      <c r="AE311" s="22">
        <v>123.3</v>
      </c>
      <c r="AF311" s="22">
        <v>52</v>
      </c>
      <c r="BN311" s="25">
        <v>0.105</v>
      </c>
      <c r="BO311" s="25">
        <v>270</v>
      </c>
      <c r="BP311" s="25">
        <v>216</v>
      </c>
      <c r="BQ311" s="25">
        <v>225</v>
      </c>
      <c r="BR311" s="25">
        <v>245</v>
      </c>
      <c r="BS311" s="25">
        <v>277.28</v>
      </c>
      <c r="BT311" s="25">
        <v>240</v>
      </c>
      <c r="BV311" s="25">
        <v>274</v>
      </c>
      <c r="BW311" s="25">
        <v>130</v>
      </c>
    </row>
    <row r="312" spans="23:75" ht="12">
      <c r="W312" s="22">
        <v>0.106</v>
      </c>
      <c r="X312" s="22">
        <v>120.5</v>
      </c>
      <c r="Y312" s="22">
        <v>86</v>
      </c>
      <c r="Z312" s="22">
        <v>100.93</v>
      </c>
      <c r="AA312" s="22">
        <v>109.5</v>
      </c>
      <c r="AB312" s="22">
        <v>124.7</v>
      </c>
      <c r="AC312" s="22">
        <v>81</v>
      </c>
      <c r="AE312" s="22">
        <v>123.2</v>
      </c>
      <c r="AF312" s="22">
        <v>52</v>
      </c>
      <c r="BN312" s="25">
        <v>0.106</v>
      </c>
      <c r="BO312" s="25">
        <v>268</v>
      </c>
      <c r="BP312" s="25">
        <v>215</v>
      </c>
      <c r="BQ312" s="25">
        <v>224.28</v>
      </c>
      <c r="BR312" s="25">
        <v>243.33</v>
      </c>
      <c r="BS312" s="25">
        <v>277.11</v>
      </c>
      <c r="BT312" s="25">
        <v>232</v>
      </c>
      <c r="BV312" s="25">
        <v>274</v>
      </c>
      <c r="BW312" s="25">
        <v>130</v>
      </c>
    </row>
    <row r="313" spans="23:75" ht="12">
      <c r="W313" s="22">
        <v>0.109</v>
      </c>
      <c r="X313" s="22">
        <v>120.5</v>
      </c>
      <c r="Y313" s="22">
        <v>85.6</v>
      </c>
      <c r="Z313" s="22">
        <v>100.6</v>
      </c>
      <c r="AA313" s="22">
        <v>109</v>
      </c>
      <c r="AB313" s="22">
        <v>124.52</v>
      </c>
      <c r="AC313" s="22">
        <v>80.71</v>
      </c>
      <c r="AE313" s="22">
        <v>123.1</v>
      </c>
      <c r="AF313" s="22">
        <v>52</v>
      </c>
      <c r="BN313" s="25">
        <v>0.109</v>
      </c>
      <c r="BO313" s="25">
        <v>268</v>
      </c>
      <c r="BP313" s="25">
        <v>214</v>
      </c>
      <c r="BQ313" s="25">
        <v>223.55</v>
      </c>
      <c r="BR313" s="25">
        <v>242.22</v>
      </c>
      <c r="BS313" s="25">
        <v>276.71</v>
      </c>
      <c r="BT313" s="25">
        <v>230.6</v>
      </c>
      <c r="BV313" s="25">
        <v>274</v>
      </c>
      <c r="BW313" s="25">
        <v>130</v>
      </c>
    </row>
    <row r="314" spans="23:75" ht="12">
      <c r="W314" s="22">
        <v>0.11</v>
      </c>
      <c r="X314" s="22">
        <v>120.15</v>
      </c>
      <c r="Y314" s="22">
        <v>85.2</v>
      </c>
      <c r="Z314" s="22">
        <v>100.28</v>
      </c>
      <c r="AA314" s="22">
        <v>108.5</v>
      </c>
      <c r="AB314" s="22">
        <v>124.36</v>
      </c>
      <c r="AC314" s="22">
        <v>80.39</v>
      </c>
      <c r="AE314" s="22">
        <v>123.1</v>
      </c>
      <c r="AF314" s="22">
        <v>52</v>
      </c>
      <c r="BN314" s="25">
        <v>0.11</v>
      </c>
      <c r="BO314" s="25">
        <v>267</v>
      </c>
      <c r="BP314" s="25">
        <v>213</v>
      </c>
      <c r="BQ314" s="25">
        <v>222.84</v>
      </c>
      <c r="BR314" s="25">
        <v>241.11</v>
      </c>
      <c r="BS314" s="25">
        <v>276.35</v>
      </c>
      <c r="BT314" s="25">
        <v>229.68</v>
      </c>
      <c r="BV314" s="25">
        <v>273</v>
      </c>
      <c r="BW314" s="25">
        <v>130</v>
      </c>
    </row>
    <row r="315" spans="23:75" ht="12">
      <c r="W315" s="22">
        <v>0.111</v>
      </c>
      <c r="X315" s="22">
        <v>120.15</v>
      </c>
      <c r="Y315" s="22">
        <v>84.9</v>
      </c>
      <c r="Z315" s="22">
        <v>99.96</v>
      </c>
      <c r="AA315" s="22">
        <v>108</v>
      </c>
      <c r="AB315" s="22">
        <v>124.28</v>
      </c>
      <c r="AC315" s="22">
        <v>80.26</v>
      </c>
      <c r="AE315" s="22">
        <v>123</v>
      </c>
      <c r="AF315" s="22">
        <v>52</v>
      </c>
      <c r="BN315" s="25">
        <v>0.111</v>
      </c>
      <c r="BO315" s="25">
        <v>267</v>
      </c>
      <c r="BP315" s="25">
        <v>212</v>
      </c>
      <c r="BQ315" s="25">
        <v>222.13</v>
      </c>
      <c r="BR315" s="25">
        <v>240</v>
      </c>
      <c r="BS315" s="25">
        <v>276.17</v>
      </c>
      <c r="BT315" s="25">
        <v>229.31</v>
      </c>
      <c r="BV315" s="25">
        <v>273</v>
      </c>
      <c r="BW315" s="25">
        <v>130</v>
      </c>
    </row>
    <row r="316" spans="23:75" ht="12">
      <c r="W316" s="22">
        <v>0.112</v>
      </c>
      <c r="X316" s="22">
        <v>119.7</v>
      </c>
      <c r="Y316" s="22">
        <v>84.6</v>
      </c>
      <c r="Z316" s="22">
        <v>99.64</v>
      </c>
      <c r="AA316" s="22">
        <v>107.5</v>
      </c>
      <c r="AB316" s="22">
        <v>124.2</v>
      </c>
      <c r="AC316" s="22">
        <v>80.1</v>
      </c>
      <c r="AE316" s="22">
        <v>123</v>
      </c>
      <c r="AF316" s="22">
        <v>52</v>
      </c>
      <c r="BN316" s="25">
        <v>0.112</v>
      </c>
      <c r="BO316" s="25">
        <v>266</v>
      </c>
      <c r="BP316" s="25">
        <v>211</v>
      </c>
      <c r="BQ316" s="25">
        <v>221.42</v>
      </c>
      <c r="BR316" s="25">
        <v>238.88</v>
      </c>
      <c r="BS316" s="25">
        <v>276</v>
      </c>
      <c r="BT316" s="25">
        <v>228.85</v>
      </c>
      <c r="BV316" s="25">
        <v>273</v>
      </c>
      <c r="BW316" s="25">
        <v>130</v>
      </c>
    </row>
    <row r="317" spans="23:75" ht="12">
      <c r="W317" s="22">
        <v>0.11900000000000001</v>
      </c>
      <c r="X317" s="22">
        <v>119.7</v>
      </c>
      <c r="Y317" s="22">
        <v>84.3</v>
      </c>
      <c r="Z317" s="22">
        <v>99.32</v>
      </c>
      <c r="AA317" s="22">
        <v>107.25</v>
      </c>
      <c r="AB317" s="22">
        <v>123.81</v>
      </c>
      <c r="AC317" s="22">
        <v>78.91</v>
      </c>
      <c r="AE317" s="22">
        <v>122.6</v>
      </c>
      <c r="AF317" s="22">
        <v>52</v>
      </c>
      <c r="BN317" s="25">
        <v>0.119</v>
      </c>
      <c r="BO317" s="25">
        <v>266</v>
      </c>
      <c r="BP317" s="25">
        <v>210.75</v>
      </c>
      <c r="BQ317" s="25">
        <v>220.71</v>
      </c>
      <c r="BR317" s="25">
        <v>238.33</v>
      </c>
      <c r="BS317" s="25">
        <v>275.13</v>
      </c>
      <c r="BT317" s="25">
        <v>225.45</v>
      </c>
      <c r="BV317" s="25">
        <v>273</v>
      </c>
      <c r="BW317" s="25">
        <v>130</v>
      </c>
    </row>
    <row r="318" spans="23:75" ht="12">
      <c r="W318" s="22">
        <v>0.12</v>
      </c>
      <c r="X318" s="22">
        <v>118.35</v>
      </c>
      <c r="Y318" s="22">
        <v>84</v>
      </c>
      <c r="Z318" s="22">
        <v>99</v>
      </c>
      <c r="AA318" s="22">
        <v>107</v>
      </c>
      <c r="AB318" s="22">
        <v>123.75</v>
      </c>
      <c r="AC318" s="22">
        <v>78.75</v>
      </c>
      <c r="AE318" s="22">
        <v>122.4</v>
      </c>
      <c r="AF318" s="22">
        <v>52</v>
      </c>
      <c r="BN318" s="25">
        <v>0.12</v>
      </c>
      <c r="BO318" s="25">
        <v>263</v>
      </c>
      <c r="BP318" s="25">
        <v>210</v>
      </c>
      <c r="BQ318" s="25">
        <v>220</v>
      </c>
      <c r="BR318" s="25">
        <v>237.77</v>
      </c>
      <c r="BS318" s="25">
        <v>275</v>
      </c>
      <c r="BT318" s="25">
        <v>225</v>
      </c>
      <c r="BV318" s="25">
        <v>272</v>
      </c>
      <c r="BW318" s="25">
        <v>130</v>
      </c>
    </row>
    <row r="319" spans="23:75" ht="12">
      <c r="W319" s="22">
        <v>0.123</v>
      </c>
      <c r="X319" s="22">
        <v>118.35</v>
      </c>
      <c r="Y319" s="22">
        <v>83.6</v>
      </c>
      <c r="Z319" s="22">
        <v>98.55</v>
      </c>
      <c r="AA319" s="22">
        <v>106.75</v>
      </c>
      <c r="AB319" s="22">
        <v>123.3</v>
      </c>
      <c r="AC319" s="22">
        <v>78.18</v>
      </c>
      <c r="AE319" s="22">
        <v>122.4</v>
      </c>
      <c r="AF319" s="22">
        <v>52</v>
      </c>
      <c r="BN319" s="25">
        <v>0.123</v>
      </c>
      <c r="BO319" s="25">
        <v>263</v>
      </c>
      <c r="BP319" s="25">
        <v>209</v>
      </c>
      <c r="BQ319" s="25">
        <v>219</v>
      </c>
      <c r="BR319" s="25">
        <v>237.22</v>
      </c>
      <c r="BS319" s="25">
        <v>274</v>
      </c>
      <c r="BT319" s="25">
        <v>223.37</v>
      </c>
      <c r="BV319" s="25">
        <v>272</v>
      </c>
      <c r="BW319" s="25">
        <v>130</v>
      </c>
    </row>
    <row r="320" spans="23:75" ht="12">
      <c r="W320" s="22">
        <v>0.124</v>
      </c>
      <c r="X320" s="22">
        <v>117.45</v>
      </c>
      <c r="Y320" s="22">
        <v>83.3</v>
      </c>
      <c r="Z320" s="22">
        <v>98.1</v>
      </c>
      <c r="AA320" s="22">
        <v>106.5</v>
      </c>
      <c r="AB320" s="22">
        <v>123.15</v>
      </c>
      <c r="AC320" s="22">
        <v>78</v>
      </c>
      <c r="AE320" s="22">
        <v>122.4</v>
      </c>
      <c r="AF320" s="22">
        <v>52</v>
      </c>
      <c r="BN320" s="25">
        <v>0.124</v>
      </c>
      <c r="BO320" s="25">
        <v>261</v>
      </c>
      <c r="BP320" s="25">
        <v>208.25</v>
      </c>
      <c r="BQ320" s="25">
        <v>218</v>
      </c>
      <c r="BR320" s="25">
        <v>236.66</v>
      </c>
      <c r="BS320" s="25">
        <v>273.66</v>
      </c>
      <c r="BT320" s="25">
        <v>222.85</v>
      </c>
      <c r="BV320" s="25">
        <v>272</v>
      </c>
      <c r="BW320" s="25">
        <v>130</v>
      </c>
    </row>
    <row r="321" spans="23:75" ht="12">
      <c r="W321" s="22">
        <v>0.129</v>
      </c>
      <c r="X321" s="22">
        <v>117.45</v>
      </c>
      <c r="Y321" s="22">
        <v>83</v>
      </c>
      <c r="Z321" s="22">
        <v>97.65</v>
      </c>
      <c r="AA321" s="22">
        <v>106.25</v>
      </c>
      <c r="AB321" s="22">
        <v>122.4</v>
      </c>
      <c r="AC321" s="22">
        <v>77.06</v>
      </c>
      <c r="AE321" s="22">
        <v>118</v>
      </c>
      <c r="BN321" s="25">
        <v>0.129</v>
      </c>
      <c r="BO321" s="25">
        <v>261</v>
      </c>
      <c r="BP321" s="25">
        <v>207.5</v>
      </c>
      <c r="BQ321" s="25">
        <v>217</v>
      </c>
      <c r="BR321" s="25">
        <v>236.11</v>
      </c>
      <c r="BS321" s="25">
        <v>272</v>
      </c>
      <c r="BT321" s="25">
        <v>220.17</v>
      </c>
      <c r="BV321" s="25">
        <v>265</v>
      </c>
      <c r="BW321" s="25">
        <v>130</v>
      </c>
    </row>
    <row r="322" spans="23:74" ht="12">
      <c r="W322" s="22">
        <v>0.13</v>
      </c>
      <c r="X322" s="22">
        <v>116.1</v>
      </c>
      <c r="Y322" s="22">
        <v>82.7</v>
      </c>
      <c r="Z322" s="22">
        <v>97.2</v>
      </c>
      <c r="AA322" s="22">
        <v>106</v>
      </c>
      <c r="AB322" s="22">
        <v>122.25</v>
      </c>
      <c r="AC322" s="22">
        <v>76.87</v>
      </c>
      <c r="AE322" s="22">
        <v>117</v>
      </c>
      <c r="BN322" s="25">
        <v>0.13</v>
      </c>
      <c r="BO322" s="25">
        <v>258</v>
      </c>
      <c r="BP322" s="25">
        <v>206.75</v>
      </c>
      <c r="BQ322" s="25">
        <v>216</v>
      </c>
      <c r="BR322" s="25">
        <v>235.55</v>
      </c>
      <c r="BS322" s="25">
        <v>271.66</v>
      </c>
      <c r="BT322" s="25">
        <v>219.62</v>
      </c>
      <c r="BV322" s="25">
        <v>260</v>
      </c>
    </row>
    <row r="323" spans="23:74" ht="12">
      <c r="W323" s="22">
        <v>0.135</v>
      </c>
      <c r="X323" s="22">
        <v>116.1</v>
      </c>
      <c r="Y323" s="22">
        <v>82.4</v>
      </c>
      <c r="Z323" s="22">
        <v>96.75</v>
      </c>
      <c r="AA323" s="22">
        <v>105.75</v>
      </c>
      <c r="AB323" s="22">
        <v>121.5</v>
      </c>
      <c r="AC323" s="22">
        <v>75.94</v>
      </c>
      <c r="AE323" s="22">
        <v>116.9</v>
      </c>
      <c r="BN323" s="25">
        <v>0.135</v>
      </c>
      <c r="BO323" s="25">
        <v>258</v>
      </c>
      <c r="BP323" s="25">
        <v>206</v>
      </c>
      <c r="BQ323" s="25">
        <v>215</v>
      </c>
      <c r="BR323" s="25">
        <v>235</v>
      </c>
      <c r="BS323" s="25">
        <v>270</v>
      </c>
      <c r="BT323" s="25">
        <v>216.97</v>
      </c>
      <c r="BV323" s="25">
        <v>256</v>
      </c>
    </row>
    <row r="324" spans="23:74" ht="12">
      <c r="W324" s="22">
        <v>0.139</v>
      </c>
      <c r="X324" s="22">
        <v>116.1</v>
      </c>
      <c r="Y324" s="22">
        <v>82.1</v>
      </c>
      <c r="Z324" s="22">
        <v>96.3</v>
      </c>
      <c r="AA324" s="22">
        <v>105</v>
      </c>
      <c r="AB324" s="22">
        <v>121.09</v>
      </c>
      <c r="AC324" s="22">
        <v>75.18</v>
      </c>
      <c r="AE324" s="22">
        <v>116.7</v>
      </c>
      <c r="BN324" s="25">
        <v>0.139</v>
      </c>
      <c r="BO324" s="25">
        <v>258</v>
      </c>
      <c r="BP324" s="25">
        <v>205.25</v>
      </c>
      <c r="BQ324" s="25">
        <v>214</v>
      </c>
      <c r="BR324" s="25">
        <v>233.33</v>
      </c>
      <c r="BS324" s="25">
        <v>269.08</v>
      </c>
      <c r="BT324" s="25">
        <v>214.8</v>
      </c>
      <c r="BV324" s="25">
        <v>256</v>
      </c>
    </row>
    <row r="325" spans="23:74" ht="12">
      <c r="W325" s="22">
        <v>0.14</v>
      </c>
      <c r="X325" s="22">
        <v>115.2</v>
      </c>
      <c r="Y325" s="22">
        <v>81.9</v>
      </c>
      <c r="Z325" s="22">
        <v>95.85</v>
      </c>
      <c r="AA325" s="22">
        <v>104.8</v>
      </c>
      <c r="AB325" s="22">
        <v>121.01</v>
      </c>
      <c r="AC325" s="22">
        <v>75</v>
      </c>
      <c r="AE325" s="22">
        <v>116.5</v>
      </c>
      <c r="BN325" s="25">
        <v>0.14</v>
      </c>
      <c r="BO325" s="25">
        <v>256</v>
      </c>
      <c r="BP325" s="25">
        <v>204.75</v>
      </c>
      <c r="BQ325" s="25">
        <v>213</v>
      </c>
      <c r="BR325" s="25">
        <v>232.88</v>
      </c>
      <c r="BS325" s="25">
        <v>268.91</v>
      </c>
      <c r="BT325" s="25">
        <v>214.28</v>
      </c>
      <c r="BV325" s="25">
        <v>256</v>
      </c>
    </row>
    <row r="326" spans="23:74" ht="12">
      <c r="W326" s="22">
        <v>0.14400000000000002</v>
      </c>
      <c r="X326" s="22">
        <v>115.2</v>
      </c>
      <c r="Y326" s="22">
        <v>81.6</v>
      </c>
      <c r="Z326" s="22">
        <v>95.4</v>
      </c>
      <c r="AA326" s="22">
        <v>104.25</v>
      </c>
      <c r="AB326" s="22">
        <v>120.69</v>
      </c>
      <c r="AC326" s="22">
        <v>74.25</v>
      </c>
      <c r="AE326" s="22">
        <v>115.9</v>
      </c>
      <c r="BN326" s="25">
        <v>0.144</v>
      </c>
      <c r="BO326" s="25">
        <v>256</v>
      </c>
      <c r="BP326" s="25">
        <v>204</v>
      </c>
      <c r="BQ326" s="25">
        <v>212</v>
      </c>
      <c r="BR326" s="25">
        <v>231.66</v>
      </c>
      <c r="BS326" s="25">
        <v>268.2</v>
      </c>
      <c r="BT326" s="25">
        <v>212.14</v>
      </c>
      <c r="BV326" s="25">
        <v>256</v>
      </c>
    </row>
    <row r="327" spans="23:74" ht="12">
      <c r="W327" s="22">
        <v>0.145</v>
      </c>
      <c r="X327" s="22">
        <v>114.3</v>
      </c>
      <c r="Y327" s="22">
        <v>81.4</v>
      </c>
      <c r="Z327" s="22">
        <v>94.95</v>
      </c>
      <c r="AA327" s="22">
        <v>104</v>
      </c>
      <c r="AB327" s="22">
        <v>120.61</v>
      </c>
      <c r="AC327" s="22">
        <v>74.06</v>
      </c>
      <c r="AE327" s="22">
        <v>115.8</v>
      </c>
      <c r="BN327" s="25">
        <v>0.145</v>
      </c>
      <c r="BO327" s="25">
        <v>254</v>
      </c>
      <c r="BP327" s="25">
        <v>203.5</v>
      </c>
      <c r="BQ327" s="25">
        <v>211</v>
      </c>
      <c r="BR327" s="25">
        <v>231.11</v>
      </c>
      <c r="BS327" s="25">
        <v>268.02</v>
      </c>
      <c r="BT327" s="25">
        <v>211.6</v>
      </c>
      <c r="BV327" s="25">
        <v>256</v>
      </c>
    </row>
    <row r="328" spans="23:74" ht="12">
      <c r="W328" s="22">
        <v>0.148</v>
      </c>
      <c r="X328" s="22">
        <v>114.3</v>
      </c>
      <c r="Y328" s="22">
        <v>81.2</v>
      </c>
      <c r="Z328" s="22">
        <v>94.5</v>
      </c>
      <c r="AA328" s="22">
        <v>103.75</v>
      </c>
      <c r="AB328" s="22">
        <v>120.37</v>
      </c>
      <c r="AC328" s="22">
        <v>73.5</v>
      </c>
      <c r="AE328" s="22">
        <v>115.2</v>
      </c>
      <c r="BN328" s="25">
        <v>0.148</v>
      </c>
      <c r="BO328" s="25">
        <v>254</v>
      </c>
      <c r="BP328" s="25">
        <v>203</v>
      </c>
      <c r="BQ328" s="25">
        <v>210</v>
      </c>
      <c r="BR328" s="25">
        <v>230.55</v>
      </c>
      <c r="BS328" s="25">
        <v>267.48</v>
      </c>
      <c r="BT328" s="25">
        <v>210</v>
      </c>
      <c r="BV328" s="25">
        <v>256</v>
      </c>
    </row>
    <row r="329" spans="23:74" ht="12">
      <c r="W329" s="22">
        <v>0.149</v>
      </c>
      <c r="X329" s="22">
        <v>113.85</v>
      </c>
      <c r="Y329" s="22">
        <v>81</v>
      </c>
      <c r="Z329" s="22">
        <v>94.2</v>
      </c>
      <c r="AA329" s="22">
        <v>103.75</v>
      </c>
      <c r="AB329" s="22">
        <v>120.29</v>
      </c>
      <c r="AC329" s="22">
        <v>73.39</v>
      </c>
      <c r="AE329" s="22">
        <v>115.2</v>
      </c>
      <c r="BN329" s="25">
        <v>0.149</v>
      </c>
      <c r="BO329" s="25">
        <v>253</v>
      </c>
      <c r="BP329" s="25">
        <v>202.5</v>
      </c>
      <c r="BQ329" s="25">
        <v>209.33</v>
      </c>
      <c r="BR329" s="25">
        <v>230.55</v>
      </c>
      <c r="BS329" s="25">
        <v>267.31</v>
      </c>
      <c r="BT329" s="25">
        <v>209.68</v>
      </c>
      <c r="BV329" s="25">
        <v>256</v>
      </c>
    </row>
    <row r="330" spans="23:74" ht="12">
      <c r="W330" s="22">
        <v>0.15</v>
      </c>
      <c r="X330" s="22">
        <v>113.85</v>
      </c>
      <c r="Y330" s="22">
        <v>80.8</v>
      </c>
      <c r="Z330" s="22">
        <v>93.75</v>
      </c>
      <c r="AA330" s="22">
        <v>103.5</v>
      </c>
      <c r="AB330" s="22">
        <v>120.21</v>
      </c>
      <c r="AC330" s="22">
        <v>73.28</v>
      </c>
      <c r="AE330" s="22">
        <v>115.2</v>
      </c>
      <c r="BN330" s="25">
        <v>0.15</v>
      </c>
      <c r="BO330" s="25">
        <v>253</v>
      </c>
      <c r="BP330" s="25">
        <v>202</v>
      </c>
      <c r="BQ330" s="25">
        <v>208.33</v>
      </c>
      <c r="BR330" s="25">
        <v>230</v>
      </c>
      <c r="BS330" s="25">
        <v>267</v>
      </c>
      <c r="BT330" s="25">
        <v>209.37</v>
      </c>
      <c r="BV330" s="25">
        <v>256</v>
      </c>
    </row>
    <row r="331" spans="23:74" ht="12">
      <c r="W331" s="22">
        <v>0.151</v>
      </c>
      <c r="X331" s="22">
        <v>112.95</v>
      </c>
      <c r="Y331" s="22">
        <v>80.6</v>
      </c>
      <c r="Z331" s="22">
        <v>93.5</v>
      </c>
      <c r="AA331" s="22">
        <v>103.25</v>
      </c>
      <c r="AB331" s="22">
        <v>120.13</v>
      </c>
      <c r="AC331" s="22">
        <v>73.17</v>
      </c>
      <c r="AE331" s="22">
        <v>115.2</v>
      </c>
      <c r="BN331" s="25">
        <v>0.151</v>
      </c>
      <c r="BO331" s="25">
        <v>251</v>
      </c>
      <c r="BP331" s="25">
        <v>201.5</v>
      </c>
      <c r="BQ331" s="25">
        <v>207.77</v>
      </c>
      <c r="BR331" s="25">
        <v>229.44</v>
      </c>
      <c r="BS331" s="25">
        <v>266.95</v>
      </c>
      <c r="BT331" s="25">
        <v>209.05</v>
      </c>
      <c r="BV331" s="25">
        <v>256</v>
      </c>
    </row>
    <row r="332" spans="23:74" ht="12">
      <c r="W332" s="22">
        <v>0.16</v>
      </c>
      <c r="X332" s="22">
        <v>112.95</v>
      </c>
      <c r="Y332" s="22">
        <v>80.4</v>
      </c>
      <c r="Z332" s="22">
        <v>92.75</v>
      </c>
      <c r="AA332" s="22">
        <v>102</v>
      </c>
      <c r="AB332" s="22">
        <v>119.41</v>
      </c>
      <c r="AC332" s="22">
        <v>72.12</v>
      </c>
      <c r="AE332" s="22">
        <v>115.2</v>
      </c>
      <c r="BN332" s="25">
        <v>0.16</v>
      </c>
      <c r="BO332" s="25">
        <v>251</v>
      </c>
      <c r="BP332" s="25">
        <v>201</v>
      </c>
      <c r="BQ332" s="25">
        <v>206.11</v>
      </c>
      <c r="BR332" s="25">
        <v>226.66</v>
      </c>
      <c r="BS332" s="25">
        <v>265.35</v>
      </c>
      <c r="BT332" s="25">
        <v>206</v>
      </c>
      <c r="BV332" s="25">
        <v>256</v>
      </c>
    </row>
    <row r="333" spans="23:74" ht="12">
      <c r="W333" s="22">
        <v>0.161</v>
      </c>
      <c r="X333" s="22">
        <v>112.05</v>
      </c>
      <c r="Y333" s="22">
        <v>80.2</v>
      </c>
      <c r="Z333" s="22">
        <v>92.5</v>
      </c>
      <c r="AA333" s="22">
        <v>101.6</v>
      </c>
      <c r="AB333" s="22">
        <v>119.33</v>
      </c>
      <c r="AC333" s="22">
        <v>72</v>
      </c>
      <c r="AE333" s="22">
        <v>115.2</v>
      </c>
      <c r="BN333" s="25">
        <v>0.161</v>
      </c>
      <c r="BO333" s="25">
        <v>249</v>
      </c>
      <c r="BP333" s="25">
        <v>200.5</v>
      </c>
      <c r="BQ333" s="25">
        <v>205.55</v>
      </c>
      <c r="BR333" s="25">
        <v>225.78</v>
      </c>
      <c r="BS333" s="25">
        <v>265.17</v>
      </c>
      <c r="BT333" s="25">
        <v>205.71</v>
      </c>
      <c r="BV333" s="25">
        <v>256</v>
      </c>
    </row>
    <row r="334" spans="23:74" ht="12">
      <c r="W334" s="22">
        <v>0.162</v>
      </c>
      <c r="X334" s="22">
        <v>112.05</v>
      </c>
      <c r="Y334" s="22">
        <v>80</v>
      </c>
      <c r="Z334" s="22">
        <v>92.25</v>
      </c>
      <c r="AA334" s="22">
        <v>101.25</v>
      </c>
      <c r="AB334" s="22">
        <v>119.25</v>
      </c>
      <c r="AC334" s="22">
        <v>71.75</v>
      </c>
      <c r="AE334" s="22">
        <v>115.2</v>
      </c>
      <c r="BN334" s="25">
        <v>0.162</v>
      </c>
      <c r="BO334" s="25">
        <v>249</v>
      </c>
      <c r="BP334" s="25">
        <v>200</v>
      </c>
      <c r="BQ334" s="25">
        <v>205</v>
      </c>
      <c r="BR334" s="25">
        <v>225</v>
      </c>
      <c r="BS334" s="25">
        <v>265</v>
      </c>
      <c r="BT334" s="25">
        <v>205</v>
      </c>
      <c r="BV334" s="25">
        <v>256</v>
      </c>
    </row>
    <row r="335" spans="23:72" ht="12">
      <c r="W335" s="22">
        <v>0.177</v>
      </c>
      <c r="X335" s="22">
        <v>110.5</v>
      </c>
      <c r="Y335" s="22">
        <v>78</v>
      </c>
      <c r="Z335" s="22">
        <v>90</v>
      </c>
      <c r="AA335" s="22">
        <v>100</v>
      </c>
      <c r="AB335" s="22">
        <v>117</v>
      </c>
      <c r="AC335" s="22">
        <v>68.25</v>
      </c>
      <c r="BN335" s="25">
        <v>0.177</v>
      </c>
      <c r="BO335" s="25">
        <v>245</v>
      </c>
      <c r="BP335" s="25">
        <v>195</v>
      </c>
      <c r="BQ335" s="25">
        <v>200</v>
      </c>
      <c r="BR335" s="25">
        <v>222.22</v>
      </c>
      <c r="BS335" s="25">
        <v>260</v>
      </c>
      <c r="BT335" s="25">
        <v>195</v>
      </c>
    </row>
    <row r="336" spans="23:72" ht="12">
      <c r="W336" s="22">
        <v>0.192</v>
      </c>
      <c r="X336" s="22">
        <v>108.45</v>
      </c>
      <c r="Y336" s="22">
        <v>76.8</v>
      </c>
      <c r="Z336" s="22">
        <v>87.75</v>
      </c>
      <c r="AA336" s="22">
        <v>99</v>
      </c>
      <c r="AB336" s="22">
        <v>117</v>
      </c>
      <c r="AC336" s="22">
        <v>66.5</v>
      </c>
      <c r="BN336" s="25">
        <v>0.192</v>
      </c>
      <c r="BO336" s="25">
        <v>241</v>
      </c>
      <c r="BP336" s="25">
        <v>192</v>
      </c>
      <c r="BQ336" s="25">
        <v>195</v>
      </c>
      <c r="BR336" s="25">
        <v>220</v>
      </c>
      <c r="BS336" s="25">
        <v>260</v>
      </c>
      <c r="BT336" s="25">
        <v>190</v>
      </c>
    </row>
    <row r="337" spans="23:72" ht="12">
      <c r="W337" s="22">
        <v>0.20700000000000002</v>
      </c>
      <c r="X337" s="22">
        <v>107.1</v>
      </c>
      <c r="Y337" s="22">
        <v>76</v>
      </c>
      <c r="Z337" s="22">
        <v>85.5</v>
      </c>
      <c r="AA337" s="22">
        <v>98</v>
      </c>
      <c r="AB337" s="22">
        <v>116</v>
      </c>
      <c r="AC337" s="22">
        <v>64.75</v>
      </c>
      <c r="BN337" s="25">
        <v>0.207</v>
      </c>
      <c r="BO337" s="25">
        <v>238</v>
      </c>
      <c r="BP337" s="25">
        <v>190</v>
      </c>
      <c r="BQ337" s="25">
        <v>190</v>
      </c>
      <c r="BR337" s="25">
        <v>217.77</v>
      </c>
      <c r="BS337" s="25">
        <v>257.77</v>
      </c>
      <c r="BT337" s="25">
        <v>185</v>
      </c>
    </row>
    <row r="338" spans="23:72" ht="12">
      <c r="W338" s="22">
        <v>0.225</v>
      </c>
      <c r="X338" s="22">
        <v>105.75</v>
      </c>
      <c r="Y338" s="22">
        <v>74.4</v>
      </c>
      <c r="Z338" s="22">
        <v>84.6</v>
      </c>
      <c r="AA338" s="22">
        <v>96</v>
      </c>
      <c r="AB338" s="22">
        <v>115</v>
      </c>
      <c r="AC338" s="22">
        <v>63</v>
      </c>
      <c r="BN338" s="25">
        <v>0.225</v>
      </c>
      <c r="BO338" s="25">
        <v>235</v>
      </c>
      <c r="BP338" s="25">
        <v>186</v>
      </c>
      <c r="BQ338" s="25">
        <v>188</v>
      </c>
      <c r="BR338" s="25">
        <v>213.33</v>
      </c>
      <c r="BS338" s="25">
        <v>255.55</v>
      </c>
      <c r="BT338" s="25">
        <v>180</v>
      </c>
    </row>
    <row r="339" spans="23:72" ht="12">
      <c r="W339" s="22">
        <v>0.25</v>
      </c>
      <c r="X339" s="22">
        <v>103.5</v>
      </c>
      <c r="Y339" s="22">
        <v>72.8</v>
      </c>
      <c r="Z339" s="22">
        <v>83.25</v>
      </c>
      <c r="AA339" s="22">
        <v>94.5</v>
      </c>
      <c r="AB339" s="22">
        <v>112.5</v>
      </c>
      <c r="AC339" s="22">
        <v>61.25</v>
      </c>
      <c r="BN339" s="25">
        <v>0.25</v>
      </c>
      <c r="BO339" s="25">
        <v>230</v>
      </c>
      <c r="BP339" s="25">
        <v>182</v>
      </c>
      <c r="BQ339" s="25">
        <v>185</v>
      </c>
      <c r="BR339" s="25">
        <v>210</v>
      </c>
      <c r="BS339" s="25">
        <v>250</v>
      </c>
      <c r="BT339" s="25">
        <v>175</v>
      </c>
    </row>
    <row r="340" spans="23:72" ht="12">
      <c r="W340" s="22">
        <v>0.312</v>
      </c>
      <c r="Y340" s="22">
        <v>69.6</v>
      </c>
      <c r="Z340" s="22">
        <v>82.35</v>
      </c>
      <c r="AA340" s="22">
        <v>91.35</v>
      </c>
      <c r="AB340" s="22">
        <v>110.25</v>
      </c>
      <c r="AC340" s="22">
        <v>55.12</v>
      </c>
      <c r="BN340" s="25">
        <v>0.312</v>
      </c>
      <c r="BP340" s="25">
        <v>174</v>
      </c>
      <c r="BQ340" s="25">
        <v>183</v>
      </c>
      <c r="BR340" s="25">
        <v>203</v>
      </c>
      <c r="BS340" s="25">
        <v>245</v>
      </c>
      <c r="BT340" s="25">
        <v>155</v>
      </c>
    </row>
    <row r="341" spans="23:72" ht="12">
      <c r="W341" s="22">
        <v>0.375</v>
      </c>
      <c r="Y341" s="22">
        <v>66.8</v>
      </c>
      <c r="Z341" s="22">
        <v>81</v>
      </c>
      <c r="AA341" s="22">
        <v>90</v>
      </c>
      <c r="AB341" s="22">
        <v>108</v>
      </c>
      <c r="AC341" s="22">
        <v>49</v>
      </c>
      <c r="BN341" s="25">
        <v>0.375</v>
      </c>
      <c r="BP341" s="25">
        <v>167</v>
      </c>
      <c r="BQ341" s="25">
        <v>180</v>
      </c>
      <c r="BR341" s="25">
        <v>200</v>
      </c>
      <c r="BS341" s="25">
        <v>240</v>
      </c>
      <c r="BT341" s="25">
        <v>140</v>
      </c>
    </row>
    <row r="342" spans="23:70" ht="12">
      <c r="W342" s="22">
        <v>0.437</v>
      </c>
      <c r="Y342" s="22">
        <v>66</v>
      </c>
      <c r="Z342" s="22">
        <v>78.75</v>
      </c>
      <c r="AA342" s="22">
        <v>87.75</v>
      </c>
      <c r="BN342" s="25">
        <v>0.437</v>
      </c>
      <c r="BP342" s="25">
        <v>165</v>
      </c>
      <c r="BQ342" s="25">
        <v>175</v>
      </c>
      <c r="BR342" s="25">
        <v>195</v>
      </c>
    </row>
    <row r="343" spans="23:70" ht="12">
      <c r="W343" s="22">
        <v>0.5</v>
      </c>
      <c r="Y343" s="22">
        <v>62.4</v>
      </c>
      <c r="Z343" s="22">
        <v>76.5</v>
      </c>
      <c r="AA343" s="22">
        <v>85.5</v>
      </c>
      <c r="BN343" s="25">
        <v>0.5</v>
      </c>
      <c r="BP343" s="25">
        <v>156</v>
      </c>
      <c r="BQ343" s="25">
        <v>170</v>
      </c>
      <c r="BR343" s="25">
        <v>190</v>
      </c>
    </row>
    <row r="344" spans="66:69" ht="12">
      <c r="BN344" s="25">
        <v>0.562</v>
      </c>
      <c r="BQ344" s="25">
        <v>165</v>
      </c>
    </row>
    <row r="345" spans="66:69" ht="12">
      <c r="BN345" s="25">
        <v>0.625</v>
      </c>
      <c r="BQ345" s="25">
        <v>165</v>
      </c>
    </row>
    <row r="8172" spans="247:254" ht="12">
      <c r="IM8172" s="22" t="s">
        <v>144</v>
      </c>
      <c r="IN8172" s="22" t="s">
        <v>145</v>
      </c>
      <c r="IO8172" s="22" t="s">
        <v>146</v>
      </c>
      <c r="IP8172" s="22" t="s">
        <v>147</v>
      </c>
      <c r="IQ8172" s="22" t="s">
        <v>97</v>
      </c>
      <c r="IR8172" s="22" t="s">
        <v>95</v>
      </c>
      <c r="IS8172" s="22" t="s">
        <v>96</v>
      </c>
      <c r="IT8172" s="22" t="s">
        <v>148</v>
      </c>
    </row>
    <row r="8173" spans="248:254" ht="12">
      <c r="IN8173" s="22" t="s">
        <v>27</v>
      </c>
      <c r="IO8173" s="22" t="s">
        <v>149</v>
      </c>
      <c r="IP8173" s="22" t="s">
        <v>150</v>
      </c>
      <c r="IQ8173" s="22" t="s">
        <v>28</v>
      </c>
      <c r="IR8173" s="22" t="s">
        <v>151</v>
      </c>
      <c r="IS8173" s="22" t="s">
        <v>152</v>
      </c>
      <c r="IT8173" s="22" t="s">
        <v>153</v>
      </c>
    </row>
    <row r="8174" spans="248:254" ht="12">
      <c r="IN8174" s="22" t="s">
        <v>154</v>
      </c>
      <c r="IO8174" s="22" t="s">
        <v>155</v>
      </c>
      <c r="IP8174" s="22" t="s">
        <v>54</v>
      </c>
      <c r="IQ8174" s="22" t="s">
        <v>55</v>
      </c>
      <c r="IR8174" s="22" t="s">
        <v>56</v>
      </c>
      <c r="IS8174" s="22" t="s">
        <v>57</v>
      </c>
      <c r="IT8174" s="22" t="s">
        <v>58</v>
      </c>
    </row>
    <row r="8175" spans="248:253" ht="12">
      <c r="IN8175" s="22" t="s">
        <v>59</v>
      </c>
      <c r="IO8175" s="22" t="s">
        <v>123</v>
      </c>
      <c r="IP8175" s="22" t="s">
        <v>59</v>
      </c>
      <c r="IQ8175" s="22" t="s">
        <v>59</v>
      </c>
      <c r="IR8175" s="22" t="s">
        <v>123</v>
      </c>
      <c r="IS8175" s="22" t="s">
        <v>123</v>
      </c>
    </row>
  </sheetData>
  <sheetProtection/>
  <mergeCells count="2">
    <mergeCell ref="O91:S91"/>
    <mergeCell ref="A180:D18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mtm</cp:lastModifiedBy>
  <cp:lastPrinted>2003-12-12T15:15:23Z</cp:lastPrinted>
  <dcterms:created xsi:type="dcterms:W3CDTF">2000-12-12T19:36:19Z</dcterms:created>
  <dcterms:modified xsi:type="dcterms:W3CDTF">2010-05-04T18:45:56Z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